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1040"/>
  </bookViews>
  <sheets>
    <sheet name="6-23-26 - 10-5-26 (20 Year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0">'6-23-26 - 10-5-26 (20 Year)'!$A$1:$H$260</definedName>
    <definedName name="_xlnm.Print_Area" localSheetId="6">'6-4-23 - 9-10-23 (17 month)'!$A$1:$O$40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" i="62" l="1"/>
  <c r="G45" i="62"/>
  <c r="G174" i="62"/>
  <c r="G217" i="62"/>
  <c r="C217" i="62"/>
  <c r="G19" i="62"/>
  <c r="G11" i="62"/>
  <c r="G16" i="62"/>
  <c r="G178" i="62"/>
  <c r="C178" i="62" s="1"/>
  <c r="G18" i="62"/>
  <c r="G12" i="62"/>
  <c r="G15" i="62"/>
  <c r="G13" i="62"/>
  <c r="G10" i="62"/>
  <c r="G17" i="62"/>
  <c r="G83" i="62"/>
  <c r="G77" i="62"/>
  <c r="G20" i="62"/>
  <c r="G254" i="62"/>
  <c r="C254" i="62" s="1"/>
  <c r="G85" i="62"/>
  <c r="G21" i="62"/>
  <c r="G229" i="62"/>
  <c r="C229" i="62" s="1"/>
  <c r="G109" i="62"/>
  <c r="G213" i="62"/>
  <c r="C213" i="62" s="1"/>
  <c r="G27" i="62"/>
  <c r="G25" i="62"/>
  <c r="G62" i="62"/>
  <c r="G170" i="62"/>
  <c r="C170" i="62" s="1"/>
  <c r="G87" i="62"/>
  <c r="G36" i="62"/>
  <c r="G41" i="62"/>
  <c r="G33" i="62"/>
  <c r="G97" i="62"/>
  <c r="G32" i="62"/>
  <c r="G24" i="62"/>
  <c r="G88" i="62"/>
  <c r="G39" i="62"/>
  <c r="G28" i="62"/>
  <c r="G54" i="62"/>
  <c r="G38" i="62"/>
  <c r="G71" i="62"/>
  <c r="G68" i="62"/>
  <c r="G63" i="62"/>
  <c r="G60" i="62"/>
  <c r="G59" i="62"/>
  <c r="G58" i="62"/>
  <c r="G53" i="62"/>
  <c r="G52" i="62"/>
  <c r="G51" i="62"/>
  <c r="G50" i="62"/>
  <c r="G49" i="62"/>
  <c r="G40" i="62"/>
  <c r="G37" i="62"/>
  <c r="G30" i="62"/>
  <c r="G84" i="62" l="1"/>
  <c r="C247" i="62"/>
  <c r="G101" i="62"/>
  <c r="G70" i="62"/>
  <c r="G228" i="62"/>
  <c r="C228" i="62"/>
  <c r="G225" i="62"/>
  <c r="C225" i="62" s="1"/>
  <c r="G65" i="62"/>
  <c r="G209" i="62"/>
  <c r="C209" i="62" s="1"/>
  <c r="G67" i="62"/>
  <c r="G47" i="62"/>
  <c r="G90" i="62"/>
  <c r="G72" i="62"/>
  <c r="G66" i="62"/>
  <c r="G128" i="62"/>
  <c r="G140" i="62"/>
  <c r="C140" i="62" s="1"/>
  <c r="G123" i="62"/>
  <c r="C123" i="62" s="1"/>
  <c r="G144" i="62"/>
  <c r="G114" i="62"/>
  <c r="G164" i="62"/>
  <c r="G64" i="62"/>
  <c r="G218" i="62"/>
  <c r="C218" i="62" s="1"/>
  <c r="G57" i="62"/>
  <c r="G134" i="62"/>
  <c r="G119" i="62"/>
  <c r="G74" i="62"/>
  <c r="G55" i="62"/>
  <c r="G105" i="62"/>
  <c r="G35" i="62"/>
  <c r="G26" i="62"/>
  <c r="G42" i="62"/>
  <c r="G86" i="62"/>
  <c r="G44" i="62"/>
  <c r="G29" i="62"/>
  <c r="G31" i="62"/>
  <c r="G34" i="62"/>
  <c r="G94" i="62"/>
  <c r="G82" i="62"/>
  <c r="G46" i="62"/>
  <c r="G14" i="62"/>
  <c r="G48" i="62"/>
  <c r="G23" i="62"/>
  <c r="F45" i="62"/>
  <c r="F12" i="62"/>
  <c r="F19" i="62"/>
  <c r="F40" i="62"/>
  <c r="F212" i="62"/>
  <c r="C212" i="62" s="1"/>
  <c r="F202" i="62"/>
  <c r="C202" i="62" s="1"/>
  <c r="F13" i="62"/>
  <c r="F23" i="62"/>
  <c r="F11" i="62"/>
  <c r="F10" i="62"/>
  <c r="F59" i="62"/>
  <c r="F51" i="62"/>
  <c r="F16" i="62"/>
  <c r="F48" i="62"/>
  <c r="F29" i="62"/>
  <c r="F96" i="62"/>
  <c r="F34" i="62"/>
  <c r="F21" i="62"/>
  <c r="F73" i="62"/>
  <c r="F42" i="62"/>
  <c r="F85" i="62"/>
  <c r="F49" i="62"/>
  <c r="F35" i="62"/>
  <c r="F25" i="62"/>
  <c r="F62" i="62"/>
  <c r="F26" i="62"/>
  <c r="F30" i="62"/>
  <c r="F68" i="62"/>
  <c r="F58" i="62"/>
  <c r="F24" i="62"/>
  <c r="F22" i="62"/>
  <c r="F151" i="62"/>
  <c r="C151" i="62" s="1"/>
  <c r="F39" i="62"/>
  <c r="F28" i="62"/>
  <c r="F54" i="62"/>
  <c r="F146" i="62"/>
  <c r="E116" i="62"/>
  <c r="D116" i="62"/>
  <c r="F18" i="62"/>
  <c r="F80" i="62"/>
  <c r="F76" i="62"/>
  <c r="F196" i="62"/>
  <c r="F47" i="62"/>
  <c r="F142" i="62"/>
  <c r="C142" i="62" s="1"/>
  <c r="F98" i="62"/>
  <c r="C98" i="62" s="1"/>
  <c r="F69" i="62"/>
  <c r="F108" i="62"/>
  <c r="F120" i="62"/>
  <c r="F79" i="62"/>
  <c r="F67" i="62"/>
  <c r="F71" i="62"/>
  <c r="F66" i="62"/>
  <c r="F65" i="62"/>
  <c r="F90" i="62"/>
  <c r="F256" i="62"/>
  <c r="C256" i="62" s="1"/>
  <c r="F106" i="62"/>
  <c r="C106" i="62" s="1"/>
  <c r="F78" i="62"/>
  <c r="F111" i="62"/>
  <c r="F38" i="62"/>
  <c r="F134" i="62"/>
  <c r="F182" i="62"/>
  <c r="C182" i="62" s="1"/>
  <c r="F57" i="62"/>
  <c r="F154" i="62"/>
  <c r="C154" i="62" s="1"/>
  <c r="F17" i="62"/>
  <c r="F92" i="62"/>
  <c r="F103" i="62"/>
  <c r="C103" i="62" s="1"/>
  <c r="F41" i="62"/>
  <c r="F44" i="62"/>
  <c r="F36" i="62"/>
  <c r="F33" i="62"/>
  <c r="F60" i="62"/>
  <c r="F27" i="62"/>
  <c r="F32" i="62"/>
  <c r="F31" i="62"/>
  <c r="F15" i="62"/>
  <c r="F46" i="62"/>
  <c r="F52" i="62"/>
  <c r="F82" i="62"/>
  <c r="F14" i="62"/>
  <c r="F105" i="62"/>
  <c r="F97" i="62"/>
  <c r="C97" i="62" s="1"/>
  <c r="F77" i="62"/>
  <c r="F75" i="62"/>
  <c r="F83" i="62"/>
  <c r="F53" i="62"/>
  <c r="F37" i="62"/>
  <c r="F93" i="62"/>
  <c r="F70" i="62"/>
  <c r="F150" i="62"/>
  <c r="F131" i="62"/>
  <c r="F168" i="62"/>
  <c r="C168" i="62" s="1"/>
  <c r="F81" i="62"/>
  <c r="F72" i="62"/>
  <c r="F141" i="62"/>
  <c r="C141" i="62" s="1"/>
  <c r="F144" i="62"/>
  <c r="F227" i="62"/>
  <c r="C227" i="62" s="1"/>
  <c r="F64" i="62"/>
  <c r="F74" i="62"/>
  <c r="F197" i="62"/>
  <c r="C197" i="62" s="1"/>
  <c r="F119" i="62"/>
  <c r="F56" i="62"/>
  <c r="F55" i="62"/>
  <c r="F86" i="62"/>
  <c r="F84" i="62"/>
  <c r="F63" i="62"/>
  <c r="F175" i="62"/>
  <c r="F187" i="62"/>
  <c r="C187" i="62" s="1"/>
  <c r="F87" i="62"/>
  <c r="E36" i="62"/>
  <c r="F206" i="62"/>
  <c r="C206" i="62" s="1"/>
  <c r="F241" i="62"/>
  <c r="C241" i="62" s="1"/>
  <c r="F174" i="62"/>
  <c r="C174" i="62" s="1"/>
  <c r="F100" i="62"/>
  <c r="F102" i="62"/>
  <c r="F191" i="62"/>
  <c r="C191" i="62" s="1"/>
  <c r="F115" i="62"/>
  <c r="D17" i="62"/>
  <c r="F43" i="62"/>
  <c r="F180" i="62"/>
  <c r="C180" i="62" s="1"/>
  <c r="F245" i="62"/>
  <c r="C245" i="62" s="1"/>
  <c r="F235" i="62"/>
  <c r="C235" i="62" s="1"/>
  <c r="F99" i="62"/>
  <c r="F112" i="62"/>
  <c r="F89" i="62"/>
  <c r="F139" i="62"/>
  <c r="C139" i="62" s="1"/>
  <c r="F95" i="62"/>
  <c r="F173" i="62"/>
  <c r="C173" i="62" s="1"/>
  <c r="F118" i="62"/>
  <c r="F107" i="62"/>
  <c r="F114" i="62"/>
  <c r="F216" i="62"/>
  <c r="C216" i="62" s="1"/>
  <c r="F205" i="62"/>
  <c r="C205" i="62" s="1"/>
  <c r="F165" i="62"/>
  <c r="C165" i="62" s="1"/>
  <c r="F113" i="62"/>
  <c r="C113" i="62" s="1"/>
  <c r="F246" i="62"/>
  <c r="C246" i="62" s="1"/>
  <c r="F248" i="62"/>
  <c r="C248" i="62" s="1"/>
  <c r="F239" i="62"/>
  <c r="C239" i="62" s="1"/>
  <c r="F223" i="62"/>
  <c r="C223" i="62" s="1"/>
  <c r="F199" i="62"/>
  <c r="C199" i="62" s="1"/>
  <c r="F163" i="62"/>
  <c r="C163" i="62" s="1"/>
  <c r="F179" i="62"/>
  <c r="C179" i="62" s="1"/>
  <c r="F91" i="62"/>
  <c r="F143" i="62"/>
  <c r="F88" i="62"/>
  <c r="F159" i="62"/>
  <c r="C159" i="62" s="1"/>
  <c r="F101" i="62"/>
  <c r="C144" i="62" l="1"/>
  <c r="C105" i="62"/>
  <c r="C134" i="62"/>
  <c r="C119" i="62"/>
  <c r="C116" i="62"/>
  <c r="F137" i="62"/>
  <c r="C131" i="62"/>
  <c r="F126" i="62"/>
  <c r="F255" i="62"/>
  <c r="C255" i="62" s="1"/>
  <c r="F177" i="62"/>
  <c r="C114" i="62"/>
  <c r="C143" i="62"/>
  <c r="F198" i="62"/>
  <c r="C198" i="62" s="1"/>
  <c r="C92" i="62"/>
  <c r="F186" i="62"/>
  <c r="C186" i="62" s="1"/>
  <c r="F61" i="62"/>
  <c r="F94" i="62"/>
  <c r="C84" i="62"/>
  <c r="F210" i="62"/>
  <c r="C210" i="62" s="1"/>
  <c r="F200" i="62"/>
  <c r="C200" i="62" s="1"/>
  <c r="C82" i="62"/>
  <c r="F214" i="62"/>
  <c r="C214" i="62" s="1"/>
  <c r="C100" i="62"/>
  <c r="F50" i="62"/>
  <c r="F20" i="62"/>
  <c r="C102" i="62"/>
  <c r="C115" i="62"/>
  <c r="F184" i="62"/>
  <c r="C184" i="62" s="1"/>
  <c r="F148" i="62"/>
  <c r="C148" i="62" s="1"/>
  <c r="F233" i="62"/>
  <c r="C233" i="62" s="1"/>
  <c r="E43" i="62"/>
  <c r="E61" i="62"/>
  <c r="E10" i="62"/>
  <c r="E24" i="62"/>
  <c r="E14" i="62"/>
  <c r="E22" i="62"/>
  <c r="E18" i="62"/>
  <c r="E52" i="62"/>
  <c r="E17" i="62"/>
  <c r="E48" i="62"/>
  <c r="E13" i="62"/>
  <c r="E40" i="62"/>
  <c r="E15" i="62"/>
  <c r="E12" i="62"/>
  <c r="E16" i="62"/>
  <c r="E138" i="62"/>
  <c r="C138" i="62" s="1"/>
  <c r="E127" i="62"/>
  <c r="C127" i="62" s="1"/>
  <c r="E196" i="62"/>
  <c r="C196" i="62" s="1"/>
  <c r="E69" i="62"/>
  <c r="E128" i="62"/>
  <c r="C128" i="62" s="1"/>
  <c r="E71" i="62"/>
  <c r="E108" i="62"/>
  <c r="E99" i="62"/>
  <c r="E79" i="62"/>
  <c r="E126" i="62"/>
  <c r="E70" i="62"/>
  <c r="E117" i="62"/>
  <c r="C117" i="62" s="1"/>
  <c r="E172" i="62"/>
  <c r="C172" i="62" s="1"/>
  <c r="E104" i="62"/>
  <c r="C104" i="62" s="1"/>
  <c r="E47" i="62"/>
  <c r="E67" i="62"/>
  <c r="E93" i="62"/>
  <c r="E257" i="62"/>
  <c r="C257" i="62" s="1"/>
  <c r="E238" i="62"/>
  <c r="C238" i="62" s="1"/>
  <c r="E236" i="62"/>
  <c r="C236" i="62" s="1"/>
  <c r="E91" i="62"/>
  <c r="E56" i="62"/>
  <c r="E28" i="62"/>
  <c r="E21" i="62"/>
  <c r="E68" i="62"/>
  <c r="E74" i="62"/>
  <c r="E11" i="62"/>
  <c r="E162" i="62"/>
  <c r="C162" i="62" s="1"/>
  <c r="E23" i="62"/>
  <c r="E26" i="62"/>
  <c r="E49" i="62"/>
  <c r="E87" i="62"/>
  <c r="E232" i="62"/>
  <c r="C232" i="62" s="1"/>
  <c r="E25" i="62"/>
  <c r="E44" i="62"/>
  <c r="E27" i="62"/>
  <c r="E41" i="62"/>
  <c r="E32" i="62"/>
  <c r="E29" i="62"/>
  <c r="E60" i="62"/>
  <c r="E62" i="62"/>
  <c r="E63" i="62"/>
  <c r="E35" i="62"/>
  <c r="E75" i="62"/>
  <c r="E94" i="62"/>
  <c r="E39" i="62"/>
  <c r="E19" i="62"/>
  <c r="E45" i="62"/>
  <c r="E46" i="62"/>
  <c r="E53" i="62"/>
  <c r="E38" i="62"/>
  <c r="E88" i="62"/>
  <c r="E54" i="62"/>
  <c r="E37" i="62"/>
  <c r="E190" i="62"/>
  <c r="C190" i="62" s="1"/>
  <c r="E33" i="62"/>
  <c r="E135" i="62"/>
  <c r="C135" i="62" s="1"/>
  <c r="E34" i="62"/>
  <c r="E85" i="62"/>
  <c r="E30" i="62"/>
  <c r="E253" i="62"/>
  <c r="C253" i="62" s="1"/>
  <c r="E237" i="62"/>
  <c r="C237" i="62" s="1"/>
  <c r="E224" i="62"/>
  <c r="C224" i="62" s="1"/>
  <c r="E50" i="62"/>
  <c r="E193" i="62"/>
  <c r="E231" i="62"/>
  <c r="C231" i="62" s="1"/>
  <c r="E65" i="62"/>
  <c r="E112" i="62"/>
  <c r="E90" i="62"/>
  <c r="C90" i="62" s="1"/>
  <c r="E72" i="62"/>
  <c r="E137" i="62"/>
  <c r="E76" i="62"/>
  <c r="E158" i="62"/>
  <c r="E78" i="62"/>
  <c r="E107" i="62"/>
  <c r="E169" i="62"/>
  <c r="C169" i="62" s="1"/>
  <c r="E149" i="62"/>
  <c r="C149" i="62" s="1"/>
  <c r="E130" i="62"/>
  <c r="E181" i="62"/>
  <c r="E51" i="62"/>
  <c r="E175" i="62"/>
  <c r="C175" i="62" s="1"/>
  <c r="E73" i="62"/>
  <c r="E42" i="62"/>
  <c r="E31" i="62"/>
  <c r="E219" i="62"/>
  <c r="C219" i="62" s="1"/>
  <c r="E192" i="62"/>
  <c r="C192" i="62" s="1"/>
  <c r="E145" i="62"/>
  <c r="E20" i="62"/>
  <c r="E83" i="62"/>
  <c r="E77" i="62"/>
  <c r="E101" i="62"/>
  <c r="E150" i="62"/>
  <c r="E222" i="62"/>
  <c r="C222" i="62" s="1"/>
  <c r="E220" i="62"/>
  <c r="C220" i="62" s="1"/>
  <c r="E81" i="62"/>
  <c r="E66" i="62"/>
  <c r="E89" i="62"/>
  <c r="E136" i="62"/>
  <c r="E195" i="62"/>
  <c r="C195" i="62" s="1"/>
  <c r="E58" i="62"/>
  <c r="E251" i="62"/>
  <c r="C251" i="62" s="1"/>
  <c r="E157" i="62"/>
  <c r="E242" i="62"/>
  <c r="C242" i="62" s="1"/>
  <c r="E176" i="62"/>
  <c r="E64" i="62"/>
  <c r="E156" i="62"/>
  <c r="E118" i="62"/>
  <c r="C118" i="62" s="1"/>
  <c r="E55" i="62"/>
  <c r="E57" i="62"/>
  <c r="E133" i="62"/>
  <c r="E59" i="62"/>
  <c r="E171" i="62"/>
  <c r="C171" i="62" s="1"/>
  <c r="E208" i="62"/>
  <c r="C208" i="62" s="1"/>
  <c r="E250" i="62"/>
  <c r="C250" i="62" s="1"/>
  <c r="E86" i="62"/>
  <c r="C126" i="62" l="1"/>
  <c r="C68" i="62"/>
  <c r="C112" i="62"/>
  <c r="C137" i="62"/>
  <c r="C107" i="62"/>
  <c r="C94" i="62"/>
  <c r="C62" i="62"/>
  <c r="C74" i="62"/>
  <c r="C54" i="62"/>
  <c r="C63" i="62"/>
  <c r="C87" i="62"/>
  <c r="E110" i="62"/>
  <c r="C83" i="62" l="1"/>
  <c r="C145" i="62"/>
  <c r="C77" i="62"/>
  <c r="E185" i="62"/>
  <c r="C185" i="62" s="1"/>
  <c r="E132" i="62"/>
  <c r="E249" i="62"/>
  <c r="C249" i="62" s="1"/>
  <c r="C91" i="62"/>
  <c r="C157" i="62"/>
  <c r="E164" i="62"/>
  <c r="C164" i="62" s="1"/>
  <c r="C158" i="62"/>
  <c r="E203" i="62"/>
  <c r="C203" i="62" s="1"/>
  <c r="C57" i="62"/>
  <c r="E111" i="62"/>
  <c r="C111" i="62" s="1"/>
  <c r="E120" i="62"/>
  <c r="C120" i="62" s="1"/>
  <c r="C193" i="62"/>
  <c r="C79" i="62"/>
  <c r="E211" i="62"/>
  <c r="C211" i="62" s="1"/>
  <c r="E129" i="62"/>
  <c r="C69" i="62"/>
  <c r="E160" i="62"/>
  <c r="C160" i="62" s="1"/>
  <c r="E153" i="62"/>
  <c r="C153" i="62" s="1"/>
  <c r="E147" i="62"/>
  <c r="C147" i="62" s="1"/>
  <c r="E125" i="62"/>
  <c r="C125" i="62" s="1"/>
  <c r="E204" i="62"/>
  <c r="C204" i="62" s="1"/>
  <c r="E194" i="62"/>
  <c r="C194" i="62" s="1"/>
  <c r="C52" i="62"/>
  <c r="C86" i="62"/>
  <c r="E226" i="62"/>
  <c r="C226" i="62" s="1"/>
  <c r="E221" i="62"/>
  <c r="C221" i="62" s="1"/>
  <c r="E167" i="62"/>
  <c r="C167" i="62" s="1"/>
  <c r="C40" i="62"/>
  <c r="E201" i="62"/>
  <c r="C201" i="62" s="1"/>
  <c r="E188" i="62"/>
  <c r="C188" i="62" s="1"/>
  <c r="E166" i="62"/>
  <c r="C166" i="62" s="1"/>
  <c r="C150" i="62"/>
  <c r="C99" i="62"/>
  <c r="E152" i="62"/>
  <c r="C108" i="62"/>
  <c r="E155" i="62"/>
  <c r="C155" i="62" s="1"/>
  <c r="E124" i="62"/>
  <c r="C124" i="62" s="1"/>
  <c r="E234" i="62"/>
  <c r="C234" i="62" s="1"/>
  <c r="C176" i="62"/>
  <c r="E177" i="62"/>
  <c r="C177" i="62" s="1"/>
  <c r="C55" i="62"/>
  <c r="E183" i="62"/>
  <c r="C183" i="62" s="1"/>
  <c r="E95" i="62"/>
  <c r="C95" i="62" s="1"/>
  <c r="E121" i="62"/>
  <c r="C133" i="62"/>
  <c r="C130" i="62"/>
  <c r="E161" i="62"/>
  <c r="C161" i="62" s="1"/>
  <c r="D85" i="62"/>
  <c r="C85" i="62" s="1"/>
  <c r="D26" i="62"/>
  <c r="D60" i="62"/>
  <c r="D73" i="62"/>
  <c r="D21" i="62"/>
  <c r="D29" i="62"/>
  <c r="D25" i="62"/>
  <c r="D41" i="62"/>
  <c r="D42" i="62"/>
  <c r="D44" i="62"/>
  <c r="D31" i="62"/>
  <c r="D27" i="62"/>
  <c r="D33" i="62"/>
  <c r="D30" i="62"/>
  <c r="D109" i="62"/>
  <c r="C109" i="62" s="1"/>
  <c r="D35" i="62"/>
  <c r="D18" i="62"/>
  <c r="D240" i="62"/>
  <c r="C240" i="62" s="1"/>
  <c r="D11" i="62"/>
  <c r="D14" i="62"/>
  <c r="D48" i="62"/>
  <c r="D10" i="62"/>
  <c r="D38" i="62"/>
  <c r="D19" i="62"/>
  <c r="D53" i="62"/>
  <c r="D28" i="62"/>
  <c r="D59" i="62"/>
  <c r="D75" i="62"/>
  <c r="D43" i="62"/>
  <c r="D37" i="62"/>
  <c r="D20" i="62"/>
  <c r="D50" i="62"/>
  <c r="D58" i="62"/>
  <c r="D13" i="62"/>
  <c r="D110" i="62"/>
  <c r="D39" i="62"/>
  <c r="D16" i="62"/>
  <c r="D51" i="62"/>
  <c r="C51" i="62" s="1"/>
  <c r="D34" i="62"/>
  <c r="D49" i="62"/>
  <c r="D32" i="62"/>
  <c r="C32" i="62" s="1"/>
  <c r="D243" i="62"/>
  <c r="C243" i="62" s="1"/>
  <c r="D61" i="62"/>
  <c r="C61" i="62" s="1"/>
  <c r="D24" i="62"/>
  <c r="D12" i="62"/>
  <c r="D22" i="62"/>
  <c r="D252" i="62"/>
  <c r="C252" i="62" s="1"/>
  <c r="D88" i="62"/>
  <c r="D23" i="62"/>
  <c r="D46" i="62"/>
  <c r="D15" i="62"/>
  <c r="D121" i="62"/>
  <c r="D45" i="62"/>
  <c r="C45" i="62" s="1"/>
  <c r="D207" i="62"/>
  <c r="C207" i="62" s="1"/>
  <c r="D129" i="62"/>
  <c r="D76" i="62"/>
  <c r="D47" i="62"/>
  <c r="D81" i="62"/>
  <c r="D72" i="62"/>
  <c r="C72" i="62" s="1"/>
  <c r="D65" i="62"/>
  <c r="D152" i="62"/>
  <c r="D71" i="62"/>
  <c r="D66" i="62"/>
  <c r="D93" i="62"/>
  <c r="C93" i="62" s="1"/>
  <c r="D101" i="62"/>
  <c r="C101" i="62" s="1"/>
  <c r="D70" i="62"/>
  <c r="D89" i="62"/>
  <c r="D67" i="62"/>
  <c r="C67" i="62" s="1"/>
  <c r="D80" i="62"/>
  <c r="C80" i="62" s="1"/>
  <c r="D132" i="62"/>
  <c r="D156" i="62"/>
  <c r="C156" i="62" s="1"/>
  <c r="D230" i="62"/>
  <c r="C230" i="62" s="1"/>
  <c r="D215" i="62"/>
  <c r="C215" i="62" s="1"/>
  <c r="D78" i="62"/>
  <c r="C78" i="62" s="1"/>
  <c r="D64" i="62"/>
  <c r="D56" i="62"/>
  <c r="D122" i="62"/>
  <c r="C122" i="62" s="1"/>
  <c r="D244" i="62"/>
  <c r="D181" i="62"/>
  <c r="D136" i="62"/>
  <c r="D96" i="62"/>
  <c r="D36" i="62"/>
  <c r="C36" i="62" s="1"/>
  <c r="D189" i="62"/>
  <c r="C88" i="62" l="1"/>
  <c r="C56" i="62"/>
  <c r="C70" i="62"/>
  <c r="C75" i="62"/>
  <c r="C34" i="62"/>
  <c r="C60" i="62"/>
  <c r="C152" i="62"/>
  <c r="C110" i="62"/>
  <c r="C76" i="62"/>
  <c r="C64" i="62"/>
  <c r="C48" i="62"/>
  <c r="C71" i="62"/>
  <c r="C19" i="62"/>
  <c r="C81" i="62"/>
  <c r="C22" i="62"/>
  <c r="C14" i="62"/>
  <c r="C132" i="62"/>
  <c r="C24" i="62"/>
  <c r="C65" i="62"/>
  <c r="C89" i="62"/>
  <c r="C129" i="62"/>
  <c r="C66" i="62"/>
  <c r="C47" i="62"/>
  <c r="C16" i="62"/>
  <c r="C23" i="62"/>
  <c r="C33" i="62"/>
  <c r="C59" i="62"/>
  <c r="C121" i="62"/>
  <c r="C58" i="62"/>
  <c r="C18" i="62"/>
  <c r="C21" i="62"/>
  <c r="C13" i="62"/>
  <c r="C20" i="62"/>
  <c r="C38" i="62"/>
  <c r="C50" i="62"/>
  <c r="C146" i="62"/>
  <c r="C37" i="62" l="1"/>
  <c r="C244" i="62"/>
  <c r="C12" i="62" l="1"/>
  <c r="C46" i="62"/>
  <c r="C26" i="62"/>
  <c r="C136" i="62"/>
  <c r="C28" i="62"/>
  <c r="C181" i="62" l="1"/>
  <c r="C25" i="62"/>
  <c r="C189" i="62"/>
  <c r="C29" i="62"/>
  <c r="C31" i="62"/>
  <c r="C11" i="62" l="1"/>
  <c r="C15" i="62"/>
  <c r="C53" i="62"/>
  <c r="C39" i="62"/>
  <c r="C17" i="62"/>
  <c r="C44" i="62"/>
  <c r="C73" i="62"/>
  <c r="C96" i="62"/>
  <c r="C49" i="62"/>
  <c r="C27" i="62"/>
  <c r="C30" i="62"/>
  <c r="C35" i="62"/>
  <c r="C42" i="62"/>
  <c r="C41" i="62"/>
  <c r="C10" i="62"/>
  <c r="C43" i="62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 s="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 s="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C50" i="61" s="1"/>
  <c r="J15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 s="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C43" i="61" s="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<sst xmlns="http://schemas.openxmlformats.org/spreadsheetml/2006/main" count="908" uniqueCount="566">
  <si>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</si>
  <si>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</si>
  <si>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</si>
  <si>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</si>
  <si>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</si>
  <si>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</si>
  <si>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</si>
  <si>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</si>
  <si>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</si>
  <si>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</si>
  <si>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</si>
  <si>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</si>
  <si>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</si>
  <si>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</si>
  <si>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</si>
  <si>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</si>
  <si>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</si>
  <si>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</si>
  <si>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</si>
  <si>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</si>
  <si>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</si>
  <si>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</si>
  <si>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</si>
  <si>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</si>
  <si>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</si>
  <si>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</si>
  <si>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</si>
  <si>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</si>
  <si>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</si>
  <si>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</si>
  <si>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</si>
  <si>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</si>
  <si>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</si>
  <si>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</si>
  <si>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</si>
  <si>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</si>
  <si>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</si>
  <si>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</si>
  <si>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</si>
  <si>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</si>
  <si>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</si>
  <si>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</si>
  <si>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</si>
  <si>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</si>
  <si>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</si>
  <si>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</si>
  <si>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</si>
  <si>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</si>
  <si>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</si>
  <si>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</si>
  <si>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</si>
  <si>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</si>
  <si>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</si>
  <si>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</si>
  <si>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</si>
  <si>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</si>
  <si>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</si>
  <si>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</si>
  <si>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</si>
  <si>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</si>
  <si>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</si>
  <si>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</si>
  <si>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</si>
  <si>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</si>
  <si>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</si>
  <si>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</si>
  <si>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</si>
  <si>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</si>
  <si>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</si>
  <si>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</si>
  <si>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</si>
  <si>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</si>
  <si>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</si>
  <si>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</si>
  <si>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</si>
  <si>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</si>
  <si>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</si>
  <si>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</si>
  <si>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</si>
  <si>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</si>
  <si>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</si>
  <si>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</si>
  <si>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</si>
  <si>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</si>
  <si>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</si>
  <si>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</si>
  <si>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</si>
  <si>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</si>
  <si>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</si>
  <si>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</si>
  <si>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</si>
  <si>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</si>
  <si>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</si>
  <si>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</si>
  <si>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</si>
  <si>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</si>
  <si>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</si>
  <si>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</si>
  <si>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</si>
  <si>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</si>
  <si>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</si>
  <si>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</si>
  <si>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</si>
  <si>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</si>
  <si>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</si>
  <si>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</si>
  <si>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</si>
  <si>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</si>
  <si>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</si>
  <si>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</si>
  <si>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</si>
  <si>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</si>
  <si>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</si>
  <si>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</si>
  <si>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</si>
  <si>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</si>
  <si>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</si>
  <si>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</si>
  <si>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</si>
  <si>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</si>
  <si>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</si>
  <si>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</si>
  <si>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</si>
  <si>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</si>
  <si>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</si>
  <si>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</si>
  <si>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</si>
  <si>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</si>
  <si>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</si>
  <si>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</si>
  <si>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</si>
  <si>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</si>
  <si>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</si>
  <si>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</si>
  <si>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</si>
  <si>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</si>
  <si>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</si>
  <si>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</si>
  <si>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</si>
  <si>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</si>
  <si>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</si>
  <si>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</si>
  <si>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</si>
  <si>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</si>
  <si>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</si>
  <si>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</si>
  <si>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</si>
  <si>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</si>
  <si>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</si>
  <si>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</si>
  <si>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</si>
  <si>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</si>
  <si>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</si>
  <si>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</si>
  <si>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</si>
  <si>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</si>
  <si>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</si>
  <si>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</si>
  <si>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</si>
  <si>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</si>
  <si>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</si>
  <si>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</si>
  <si>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</si>
  <si>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</si>
  <si>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</si>
  <si>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</si>
  <si>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</si>
  <si>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</si>
  <si>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</si>
  <si>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</si>
  <si>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</si>
  <si>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</si>
  <si>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</si>
  <si>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</si>
  <si>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</si>
  <si>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</si>
  <si>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</si>
  <si>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</si>
  <si>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</si>
  <si>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</si>
  <si>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</si>
  <si>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</si>
  <si>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</si>
  <si>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</si>
  <si>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</si>
  <si>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</si>
  <si>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</si>
  <si>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</si>
  <si>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</si>
  <si>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</si>
  <si>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</si>
  <si>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</si>
  <si>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</si>
  <si>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</si>
  <si>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</si>
  <si>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</si>
  <si>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</si>
  <si>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</si>
  <si>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</si>
  <si>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</si>
  <si>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</si>
  <si>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</si>
  <si>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</si>
  <si>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</si>
  <si>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</si>
  <si>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</si>
  <si>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</si>
  <si>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</si>
  <si>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</si>
  <si>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</si>
  <si>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</si>
  <si>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</si>
  <si>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</si>
  <si>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</si>
  <si>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</si>
  <si>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</si>
  <si>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</si>
  <si>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</si>
  <si>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</si>
  <si>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</si>
  <si>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</si>
  <si>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</si>
  <si>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</si>
  <si>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</si>
  <si>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</si>
  <si>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</si>
  <si>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</si>
  <si>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</si>
  <si>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</si>
  <si>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</si>
  <si>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</si>
  <si>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</si>
  <si>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</si>
  <si>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</si>
  <si>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</si>
  <si>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</si>
  <si>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</si>
  <si>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</si>
  <si>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</si>
  <si>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</si>
  <si>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</si>
  <si>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</si>
  <si>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</si>
  <si>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</si>
  <si>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</si>
  <si>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</si>
  <si>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</si>
  <si>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</si>
  <si>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</si>
  <si>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</si>
  <si>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</si>
  <si>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</si>
  <si>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</si>
  <si>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</si>
  <si>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</si>
  <si>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</si>
  <si>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</si>
  <si>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</si>
  <si>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</si>
  <si>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</si>
  <si>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</si>
  <si>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</si>
  <si>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</si>
  <si>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</si>
  <si>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</si>
  <si>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</si>
  <si>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</si>
  <si>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</si>
  <si>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</si>
  <si>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</si>
  <si>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</si>
  <si>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</si>
  <si>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</si>
  <si>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</si>
  <si>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</si>
  <si>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</si>
  <si>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</si>
  <si>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</si>
  <si>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</si>
  <si>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</si>
  <si>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</si>
  <si>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</si>
  <si>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</si>
  <si>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</si>
  <si>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</si>
  <si>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</si>
  <si>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</si>
  <si>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</si>
  <si>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</si>
  <si>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</si>
  <si>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</si>
  <si>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</si>
  <si>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</si>
  <si>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</si>
  <si>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</si>
  <si>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</si>
  <si>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</si>
  <si>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</si>
  <si>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</si>
  <si>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</si>
  <si>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</si>
  <si>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</si>
  <si>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</si>
  <si>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</si>
  <si>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</si>
  <si>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</si>
  <si>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</si>
  <si>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</si>
  <si>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</si>
  <si>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</si>
  <si>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</si>
  <si>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</si>
  <si>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</si>
  <si>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</si>
  <si>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</si>
  <si>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</si>
  <si>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</si>
  <si>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</si>
  <si>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</si>
  <si>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</si>
  <si>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</si>
  <si>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</si>
  <si>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</si>
  <si>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</si>
  <si>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</si>
  <si>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</si>
  <si>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</si>
  <si>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</si>
  <si>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</si>
  <si>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</si>
  <si>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</si>
  <si>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</si>
  <si>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</si>
  <si>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Davies, Chris</t>
  </si>
  <si>
    <t>Brown, Larry</t>
  </si>
  <si>
    <t>Martinez, Patrick</t>
  </si>
  <si>
    <t>McChesnee, Gerldine</t>
  </si>
  <si>
    <t>Rahn, Allyson</t>
  </si>
  <si>
    <t>Spencer, Renee</t>
  </si>
  <si>
    <t>Velez, Domingo</t>
  </si>
  <si>
    <t>JUNE</t>
  </si>
  <si>
    <t>Amadee, Tony</t>
  </si>
  <si>
    <t>Wurster, Rick</t>
  </si>
  <si>
    <t>Wetmore, William Jr.</t>
  </si>
  <si>
    <t>Harrison, Jerry</t>
  </si>
  <si>
    <t>Bruner, Rodney</t>
  </si>
  <si>
    <t>Hart, Karen</t>
  </si>
  <si>
    <t>TOP - 64 POINT LEADERS QUALIFY</t>
  </si>
  <si>
    <t>JUNE 23rd - OCTOBER 5th</t>
  </si>
  <si>
    <t>JULY</t>
  </si>
  <si>
    <t>SEPT</t>
  </si>
  <si>
    <t>AUG</t>
  </si>
  <si>
    <t>OCT</t>
  </si>
  <si>
    <t>20th YEAR ANNIVERSARY</t>
  </si>
  <si>
    <t>LOCATION / TIME / DATE: TBD</t>
  </si>
  <si>
    <t>Prince, Walley</t>
  </si>
  <si>
    <t>Williams, Micheal</t>
  </si>
  <si>
    <t>Floyd, Dede</t>
  </si>
  <si>
    <t>Sheffield, James</t>
  </si>
  <si>
    <t>TOP 64 QUALIFIER'S</t>
  </si>
  <si>
    <t>Walker, Q</t>
  </si>
  <si>
    <t>Barber, Charlene</t>
  </si>
  <si>
    <t>Polar, Daija</t>
  </si>
  <si>
    <t>Barnes, Tyree</t>
  </si>
  <si>
    <t>Raley, Beau</t>
  </si>
  <si>
    <t>Loudamy, Terry</t>
  </si>
  <si>
    <t>Osorio, Carlos</t>
  </si>
  <si>
    <t>Craft, JC</t>
  </si>
  <si>
    <t>Ortega, Dylan</t>
  </si>
  <si>
    <t>Ci, Caleb</t>
  </si>
  <si>
    <t>Davis, Adrain</t>
  </si>
  <si>
    <t>Harrison, Shannon</t>
  </si>
  <si>
    <t>Harrison, Sally</t>
  </si>
  <si>
    <t>Civale, Matt</t>
  </si>
  <si>
    <t>Ghimire, PJ</t>
  </si>
  <si>
    <t>Wendt, Wendy</t>
  </si>
  <si>
    <t>Muro, Humberto</t>
  </si>
  <si>
    <t>Harden, Daren</t>
  </si>
  <si>
    <t>Southern, Andrew</t>
  </si>
  <si>
    <t>Spence, Bryan</t>
  </si>
  <si>
    <t>Campos, Emiliano</t>
  </si>
  <si>
    <t>Sladecek, Jeff</t>
  </si>
  <si>
    <t>Merritt, Kelly</t>
  </si>
  <si>
    <t>Carmody, Karen</t>
  </si>
  <si>
    <t>Watts, Kyle</t>
  </si>
  <si>
    <t>Irwin, Kevin</t>
  </si>
  <si>
    <t>Cymbal, Martin</t>
  </si>
  <si>
    <t>Grimes, Deb</t>
  </si>
  <si>
    <t>Winter, Les</t>
  </si>
  <si>
    <t>Cadenhead, Ken</t>
  </si>
  <si>
    <t>Villarreal, Osvaldo</t>
  </si>
  <si>
    <t>Gonzalez, Karen</t>
  </si>
  <si>
    <t>Gonzalez, Ralph</t>
  </si>
  <si>
    <t>Williams, Tante</t>
  </si>
  <si>
    <t>Okane, Ken</t>
  </si>
  <si>
    <t>Martinez, Jake</t>
  </si>
  <si>
    <t>Schrotberger, Brandon</t>
  </si>
  <si>
    <t>Perry, Vernon</t>
  </si>
  <si>
    <t>Osborn, Jerry</t>
  </si>
  <si>
    <t>Dunn, Jennifer</t>
  </si>
  <si>
    <t>Haun, Olya</t>
  </si>
  <si>
    <t>Robinson, Jakob</t>
  </si>
  <si>
    <t>Hartsell, Jeffery</t>
  </si>
  <si>
    <t>Kosub, Matt</t>
  </si>
  <si>
    <t>Grande, Rudy</t>
  </si>
  <si>
    <t>Ramirez, Paul</t>
  </si>
  <si>
    <t>Cottrell, Cole</t>
  </si>
  <si>
    <t>Cade, Lori</t>
  </si>
  <si>
    <t>Ijeh, Sam</t>
  </si>
  <si>
    <t>Tanner, Sharron</t>
  </si>
  <si>
    <t>Wendt, Becky</t>
  </si>
  <si>
    <t>Webb, Christian</t>
  </si>
  <si>
    <t>Kim, Tom</t>
  </si>
  <si>
    <t>Pearson, Tyler</t>
  </si>
  <si>
    <t>Pearson, Jimmy</t>
  </si>
  <si>
    <t>VanEngen, Ronald</t>
  </si>
  <si>
    <t>Boeshart, Angie</t>
  </si>
  <si>
    <t>Jeffries, Dean</t>
  </si>
  <si>
    <t>Wilson, Richard</t>
  </si>
  <si>
    <t>Davis, Jazmyn</t>
  </si>
  <si>
    <t>Klaney, Brandon</t>
  </si>
  <si>
    <t>New, Candice</t>
  </si>
  <si>
    <t>Edmington, Steve</t>
  </si>
  <si>
    <t>Launel, Joey</t>
  </si>
  <si>
    <t>Swanson, Anthony</t>
  </si>
  <si>
    <t>Ammeter, Alan</t>
  </si>
  <si>
    <t>Kornhauser, Bobby</t>
  </si>
  <si>
    <t>Taylor, Ricky</t>
  </si>
  <si>
    <t>Urbina, Luis</t>
  </si>
  <si>
    <t>Loudamy, Trent</t>
  </si>
  <si>
    <t>Thompson, Scott</t>
  </si>
  <si>
    <t>Beck, Brent</t>
  </si>
  <si>
    <t>Garcia, Adylene</t>
  </si>
  <si>
    <t>Flew, Jack</t>
  </si>
  <si>
    <t>Ward, Jerry</t>
  </si>
  <si>
    <t>Brooks, Rebecca</t>
  </si>
  <si>
    <t>Santiago, Fred</t>
  </si>
  <si>
    <t>Stephens, Brandon</t>
  </si>
  <si>
    <t>Clark, Hayden</t>
  </si>
  <si>
    <t>Gamboa, Mellanie</t>
  </si>
  <si>
    <t>Poche, Aaron</t>
  </si>
  <si>
    <t>Munoz, Humberto</t>
  </si>
  <si>
    <t>Munoz, Sam</t>
  </si>
  <si>
    <t>Garcia, Rafael</t>
  </si>
  <si>
    <t>Garcia, Naoma</t>
  </si>
  <si>
    <t>Harvey, Jared</t>
  </si>
  <si>
    <t>Soliman, Samell</t>
  </si>
  <si>
    <t>Billmyre, Ashley</t>
  </si>
  <si>
    <t>Welch, Jake</t>
  </si>
  <si>
    <t>Robinson, Gary</t>
  </si>
  <si>
    <t>Ladue, Donna</t>
  </si>
  <si>
    <t>Parics, Darron</t>
  </si>
  <si>
    <t>Akins, Nae</t>
  </si>
  <si>
    <t>Prochilo, Christin</t>
  </si>
  <si>
    <t>Lewis, Bobbie</t>
  </si>
  <si>
    <t>Trammell, Amy</t>
  </si>
  <si>
    <t>Bridges, Kaitlyn</t>
  </si>
  <si>
    <t>Crow, Cindy</t>
  </si>
  <si>
    <t>Munoz, Melanie</t>
  </si>
  <si>
    <t>Lopez, Elias</t>
  </si>
  <si>
    <t>Wetmore, William Sr.</t>
  </si>
  <si>
    <t>Gonzalez, Ray</t>
  </si>
  <si>
    <t>Lawson, Dottie</t>
  </si>
  <si>
    <t>Shipman, Bobby</t>
  </si>
  <si>
    <t>Gebert, Chris</t>
  </si>
  <si>
    <t>Fields, Deb</t>
  </si>
  <si>
    <t>Rosa, Abdias</t>
  </si>
  <si>
    <t>Rendon, Mike</t>
  </si>
  <si>
    <t>Renner, Nathan</t>
  </si>
  <si>
    <t>Renner, Rochelle</t>
  </si>
  <si>
    <t>Metzger, Verushlea</t>
  </si>
  <si>
    <t>Means, Collin</t>
  </si>
  <si>
    <t>Clark, John</t>
  </si>
  <si>
    <t>Bagwell, Chuck</t>
  </si>
  <si>
    <t>Wiggins, Jonnie</t>
  </si>
  <si>
    <t>Andrews, Cassy</t>
  </si>
  <si>
    <t>Solan, Adam</t>
  </si>
  <si>
    <t>Burton, Justin</t>
  </si>
  <si>
    <t>Ruiz, Rosa</t>
  </si>
  <si>
    <t>Osborne, Ronald</t>
  </si>
  <si>
    <t>Harrison, Mike</t>
  </si>
  <si>
    <t>Magnuson, Wyatt</t>
  </si>
  <si>
    <t>Morritz, Alyssa</t>
  </si>
  <si>
    <t>Carter, Bret</t>
  </si>
  <si>
    <t>Toal, Ryan</t>
  </si>
  <si>
    <t>Ullom, Zeb</t>
  </si>
  <si>
    <t>Vasquez, Gilbert</t>
  </si>
  <si>
    <t>Ullom, Allison</t>
  </si>
  <si>
    <t>Whalen, Joey</t>
  </si>
  <si>
    <t>Hunt, Anthony</t>
  </si>
  <si>
    <t>Kaminski, Patrick</t>
  </si>
  <si>
    <t>Flores, Nancy</t>
  </si>
  <si>
    <t>Cholica, Jonny</t>
  </si>
  <si>
    <t>Gamero, Ruth</t>
  </si>
  <si>
    <t>Barker, Michael</t>
  </si>
  <si>
    <t>Ocon, Susan</t>
  </si>
  <si>
    <t>Donaldson, Jarmain</t>
  </si>
  <si>
    <t>Tipping, Jan</t>
  </si>
  <si>
    <t>Sambrosky, Ginger</t>
  </si>
  <si>
    <t>Hall, Toni</t>
  </si>
  <si>
    <t>Valinko, Tyvceni</t>
  </si>
  <si>
    <t>Berry, Pat</t>
  </si>
  <si>
    <t>Davis, Mayan</t>
  </si>
  <si>
    <t>Sarkisian, Arson</t>
  </si>
  <si>
    <t>Stokes, Josh</t>
  </si>
  <si>
    <t>Neil, Andy</t>
  </si>
  <si>
    <t>Brown, Kristin</t>
  </si>
  <si>
    <t>Gamero, Humberto</t>
  </si>
  <si>
    <t>Crabtree, Donald</t>
  </si>
  <si>
    <t>Schmidt, Chris</t>
  </si>
  <si>
    <t>Divalerio, Don</t>
  </si>
  <si>
    <t>Hunt, Kim</t>
  </si>
  <si>
    <t>Coe, John</t>
  </si>
  <si>
    <t>Fong, Suzie</t>
  </si>
  <si>
    <t>Divalerio, Michelle</t>
  </si>
  <si>
    <t>Steele, Ned</t>
  </si>
  <si>
    <t>Ashcroft, Keegan</t>
  </si>
  <si>
    <t>Lucero, Jared</t>
  </si>
  <si>
    <t>Gamero, Alberto</t>
  </si>
  <si>
    <t>Haros, Erik</t>
  </si>
  <si>
    <t>McGovern, Josh</t>
  </si>
  <si>
    <t>Webb, Melanie</t>
  </si>
  <si>
    <t xml:space="preserve">Contreras, Sarah </t>
  </si>
  <si>
    <t>Contreras, Wilmer</t>
  </si>
  <si>
    <t>Turner, Jeff</t>
  </si>
  <si>
    <t>Lawrence, Denise</t>
  </si>
  <si>
    <t>Wilcox, Katie</t>
  </si>
  <si>
    <t>Lawrence, Jimmy</t>
  </si>
  <si>
    <t>Wilcox, Roger</t>
  </si>
  <si>
    <t>Floyd, Marcis</t>
  </si>
  <si>
    <t>Revo, Livia</t>
  </si>
  <si>
    <t>Rockhold, Jennifer</t>
  </si>
  <si>
    <t>Lewis, Adrian</t>
  </si>
  <si>
    <t>Mulkey, Jeff</t>
  </si>
  <si>
    <t>Ferrez, Patricia</t>
  </si>
  <si>
    <t>Lund, Jason</t>
  </si>
  <si>
    <t>Chilton, Leonard</t>
  </si>
  <si>
    <t>Miedzianowski, David</t>
  </si>
  <si>
    <t>Alekenko, Stepan</t>
  </si>
  <si>
    <t>Katlou, Yauhen</t>
  </si>
  <si>
    <t>West, Erica</t>
  </si>
  <si>
    <t>Marchand, Nicole</t>
  </si>
  <si>
    <t>Kelly, Hugh</t>
  </si>
  <si>
    <t>Odom, Richard</t>
  </si>
  <si>
    <t>Miller, Wes</t>
  </si>
  <si>
    <t>Anderson, Keith</t>
  </si>
  <si>
    <t>Hays, Marshall</t>
  </si>
  <si>
    <t>Tijida, Wellington</t>
  </si>
  <si>
    <t>Agnew, David</t>
  </si>
  <si>
    <t>Nguyen, Harold</t>
  </si>
  <si>
    <t>Gallegos, Alex</t>
  </si>
  <si>
    <t>Amaya, Jesse</t>
  </si>
  <si>
    <t>Oark, Hayden</t>
  </si>
  <si>
    <t>Faulkner, Richard</t>
  </si>
  <si>
    <t>Martinez, Daniel</t>
  </si>
  <si>
    <t>Schamp, Cindy</t>
  </si>
  <si>
    <t>Wilcox, Rhonda</t>
  </si>
  <si>
    <t>Poe, Bob</t>
  </si>
  <si>
    <t>Dawson, Jerry</t>
  </si>
  <si>
    <t>Odom, RJ</t>
  </si>
  <si>
    <t>Arigoni, Patricia</t>
  </si>
  <si>
    <t>Robinson, Lisa</t>
  </si>
  <si>
    <t>Smith, David</t>
  </si>
  <si>
    <t>Braux, Landon</t>
  </si>
  <si>
    <t>Leckie, Jemini</t>
  </si>
  <si>
    <t xml:space="preserve">                                                                                                                       (updated 9/9/26)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</si>
</sst>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9"/>
      <name val="Arial Narrow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23"/>
      <color rgb="FFFFFF00"/>
      <name val="Arial"/>
      <family val="2"/>
    </font>
    <font>
      <b/>
      <sz val="11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2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0" fontId="41" fillId="0" borderId="0" xfId="0" applyFont="1" applyAlignment="1">
      <alignment horizontal="center" wrapText="1"/>
    </xf>
    <xf numFmtId="1" fontId="43" fillId="0" borderId="10" xfId="37" applyNumberFormat="1" applyFont="1" applyBorder="1" applyAlignment="1">
      <alignment horizontal="center" wrapText="1"/>
    </xf>
    <xf numFmtId="0" fontId="42" fillId="0" borderId="10" xfId="0" applyFont="1" applyBorder="1" applyAlignment="1">
      <alignment horizontal="center" wrapText="1"/>
    </xf>
    <xf numFmtId="0" fontId="42" fillId="26" borderId="10" xfId="0" applyFont="1" applyFill="1" applyBorder="1" applyAlignment="1">
      <alignment horizontal="center" wrapText="1"/>
    </xf>
    <xf numFmtId="1" fontId="43" fillId="26" borderId="10" xfId="37" applyNumberFormat="1" applyFont="1" applyFill="1" applyBorder="1" applyAlignment="1">
      <alignment horizontal="center" wrapText="1"/>
    </xf>
    <xf numFmtId="1" fontId="43" fillId="27" borderId="10" xfId="37" applyNumberFormat="1" applyFont="1" applyFill="1" applyBorder="1" applyAlignment="1">
      <alignment horizontal="center" wrapText="1"/>
    </xf>
    <xf numFmtId="0" fontId="42" fillId="0" borderId="10" xfId="0" applyFont="1" applyFill="1" applyBorder="1" applyAlignment="1">
      <alignment horizontal="center" wrapText="1"/>
    </xf>
    <xf numFmtId="1" fontId="43" fillId="0" borderId="10" xfId="37" applyNumberFormat="1" applyFont="1" applyFill="1" applyBorder="1" applyAlignment="1">
      <alignment horizontal="center" wrapText="1"/>
    </xf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0" fillId="25" borderId="11" xfId="0" applyFont="1" applyFill="1" applyBorder="1" applyAlignment="1">
      <alignment horizontal="left"/>
    </xf>
    <xf numFmtId="0" fontId="30" fillId="25" borderId="0" xfId="0" applyFont="1" applyFill="1" applyAlignment="1">
      <alignment horizontal="left"/>
    </xf>
    <xf numFmtId="0" fontId="0" fillId="0" borderId="12" xfId="0" applyBorder="1"/>
    <xf numFmtId="0" fontId="44" fillId="25" borderId="10" xfId="0" applyFont="1" applyFill="1" applyBorder="1" applyAlignment="1">
      <alignment horizontal="center"/>
    </xf>
    <xf numFmtId="0" fontId="0" fillId="25" borderId="10" xfId="0" applyFill="1" applyBorder="1"/>
    <xf numFmtId="0" fontId="39" fillId="25" borderId="10" xfId="0" applyFont="1" applyFill="1" applyBorder="1" applyAlignment="1">
      <alignment horizontal="center"/>
    </xf>
    <xf numFmtId="0" fontId="40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5" fillId="25" borderId="13" xfId="0" applyFont="1" applyFill="1" applyBorder="1" applyAlignment="1">
      <alignment horizontal="center"/>
    </xf>
    <xf numFmtId="0" fontId="45" fillId="25" borderId="14" xfId="0" applyFont="1" applyFill="1" applyBorder="1" applyAlignment="1">
      <alignment horizontal="center"/>
    </xf>
    <xf numFmtId="0" fontId="45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0" fillId="25" borderId="11" xfId="0" applyFont="1" applyFill="1" applyBorder="1"/>
    <xf numFmtId="0" fontId="30" fillId="25" borderId="0" xfId="0" applyFont="1" applyFill="1"/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8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817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0"/>
  <sheetViews>
    <sheetView tabSelected="1" zoomScaleNormal="100" workbookViewId="0">
      <selection activeCell="H10" sqref="H10"/>
    </sheetView>
  </sheetViews>
  <sheetFormatPr defaultRowHeight="12.75" x14ac:dyDescent="0.2"/>
  <cols>
    <col min="1" max="1" width="8.7109375" customWidth="1"/>
    <col min="2" max="2" width="24.28515625" customWidth="1"/>
    <col min="3" max="3" width="10.85546875" customWidth="1"/>
    <col min="4" max="8" width="9.140625" customWidth="1"/>
    <col min="9" max="9" width="8.7109375" customWidth="1"/>
  </cols>
  <sheetData>
    <row r="1" spans="1:8" ht="126" customHeight="1" x14ac:dyDescent="0.2">
      <c r="A1" s="38"/>
      <c r="B1" s="38"/>
      <c r="C1" s="38"/>
      <c r="D1" s="38"/>
      <c r="E1" s="38"/>
      <c r="F1" s="38"/>
      <c r="G1" s="38"/>
      <c r="H1" s="38"/>
    </row>
    <row r="2" spans="1:8" ht="38.25" customHeight="1" x14ac:dyDescent="0.4">
      <c r="A2" s="39" t="s">
        <v>353</v>
      </c>
      <c r="B2" s="39"/>
      <c r="C2" s="39"/>
      <c r="D2" s="39"/>
      <c r="E2" s="39"/>
      <c r="F2" s="39"/>
      <c r="G2" s="39"/>
      <c r="H2" s="39"/>
    </row>
    <row r="3" spans="1:8" ht="38.25" customHeight="1" x14ac:dyDescent="0.4">
      <c r="A3" s="41" t="s">
        <v>354</v>
      </c>
      <c r="B3" s="41"/>
      <c r="C3" s="41"/>
      <c r="D3" s="41"/>
      <c r="E3" s="41"/>
      <c r="F3" s="41"/>
      <c r="G3" s="41"/>
      <c r="H3" s="41"/>
    </row>
    <row r="4" spans="1:8" ht="38.25" customHeight="1" x14ac:dyDescent="0.4">
      <c r="A4" s="42" t="s">
        <v>348</v>
      </c>
      <c r="B4" s="42"/>
      <c r="C4" s="42"/>
      <c r="D4" s="42"/>
      <c r="E4" s="42"/>
      <c r="F4" s="42"/>
      <c r="G4" s="42"/>
      <c r="H4" s="42"/>
    </row>
    <row r="5" spans="1:8" ht="38.25" customHeight="1" x14ac:dyDescent="0.4">
      <c r="A5" s="43" t="s">
        <v>347</v>
      </c>
      <c r="B5" s="43"/>
      <c r="C5" s="43"/>
      <c r="D5" s="43"/>
      <c r="E5" s="43"/>
      <c r="F5" s="43"/>
      <c r="G5" s="43"/>
      <c r="H5" s="43"/>
    </row>
    <row r="6" spans="1:8" ht="9.75" customHeight="1" x14ac:dyDescent="0.4">
      <c r="A6" s="47"/>
      <c r="B6" s="48"/>
      <c r="C6" s="48"/>
      <c r="D6" s="48"/>
      <c r="E6" s="48"/>
      <c r="F6" s="48"/>
      <c r="G6" s="48"/>
      <c r="H6" s="49"/>
    </row>
    <row r="7" spans="1:8" ht="18.75" customHeight="1" x14ac:dyDescent="0.25">
      <c r="A7" s="44" t="s">
        <v>565</v>
      </c>
      <c r="B7" s="45"/>
      <c r="C7" s="45"/>
      <c r="D7" s="45"/>
      <c r="E7" s="45"/>
      <c r="F7" s="45"/>
      <c r="G7" s="45"/>
      <c r="H7" s="46"/>
    </row>
    <row r="8" spans="1:8" ht="18" customHeight="1" x14ac:dyDescent="0.2">
      <c r="A8" s="40"/>
      <c r="B8" s="40"/>
      <c r="C8" s="40"/>
      <c r="D8" s="40"/>
      <c r="E8" s="40"/>
      <c r="F8" s="40"/>
      <c r="G8" s="40"/>
      <c r="H8" s="40"/>
    </row>
    <row r="9" spans="1:8" ht="15" customHeight="1" x14ac:dyDescent="0.25">
      <c r="A9" s="1" t="s">
        <v>1</v>
      </c>
      <c r="B9" s="1" t="s">
        <v>0</v>
      </c>
      <c r="C9" s="1" t="s">
        <v>2</v>
      </c>
      <c r="D9" s="2" t="s">
        <v>340</v>
      </c>
      <c r="E9" s="2" t="s">
        <v>349</v>
      </c>
      <c r="F9" s="2" t="s">
        <v>351</v>
      </c>
      <c r="G9" s="2" t="s">
        <v>350</v>
      </c>
      <c r="H9" s="2" t="s">
        <v>352</v>
      </c>
    </row>
    <row r="10" spans="1:8" ht="15" customHeight="1" x14ac:dyDescent="0.2">
      <c r="A10" s="29">
        <v>1</v>
      </c>
      <c r="B10" s="29" t="s">
        <v>339</v>
      </c>
      <c r="C10" s="31">
        <f t="shared" ref="C10:C73" si="0">SUM(D10:H10)</f>
        <v>17535</v>
      </c>
      <c r="D10" s="27">
        <f>225+475+425+425+275+200+300+200</f>
        <v>2525</v>
      </c>
      <c r="E10" s="27">
        <f>575+350+275+475+300+575+475+425+425+425+375+175+325+250+475+475+350+130</f>
        <v>6855</v>
      </c>
      <c r="F10" s="27">
        <f>175+300+575+575+325+375+225+475+200+275+575+130+350+575+325+575+475+350</f>
        <v>6855</v>
      </c>
      <c r="G10" s="27">
        <f>175+325+325+475</f>
        <v>1300</v>
      </c>
      <c r="H10" s="27"/>
    </row>
    <row r="11" spans="1:8" ht="15" customHeight="1" x14ac:dyDescent="0.2">
      <c r="A11" s="29">
        <v>2</v>
      </c>
      <c r="B11" s="29" t="s">
        <v>337</v>
      </c>
      <c r="C11" s="31">
        <f t="shared" si="0"/>
        <v>17110</v>
      </c>
      <c r="D11" s="27">
        <f>250+375+575+575+300+160+375+145</f>
        <v>2755</v>
      </c>
      <c r="E11" s="27">
        <f>375+350+300+175+350+350+350+250+325+375+475+300+200+425+325+375+160+325</f>
        <v>5785</v>
      </c>
      <c r="F11" s="27">
        <f>200+250+475+425+225+375+575+350+175+250+375+300+325+250+375+145+300+475+250+350+300+325</f>
        <v>7070</v>
      </c>
      <c r="G11" s="27">
        <f>475+175+225+375+250</f>
        <v>1500</v>
      </c>
      <c r="H11" s="27"/>
    </row>
    <row r="12" spans="1:8" ht="15" customHeight="1" x14ac:dyDescent="0.2">
      <c r="A12" s="29">
        <v>3</v>
      </c>
      <c r="B12" s="29" t="s">
        <v>346</v>
      </c>
      <c r="C12" s="31">
        <f t="shared" si="0"/>
        <v>15215</v>
      </c>
      <c r="D12" s="27">
        <f>350+275+275+425+300</f>
        <v>1625</v>
      </c>
      <c r="E12" s="27">
        <f>475+225+250+350+200+475+225+475+200+300+375+300+425+375+425+200+575+200+200+200+375</f>
        <v>6825</v>
      </c>
      <c r="F12" s="27">
        <f>250+300+375+575+425+225+300+325+325+250+375+375+225+250+250+200+325+325+160</f>
        <v>5835</v>
      </c>
      <c r="G12" s="27">
        <f>200+130+250+350</f>
        <v>930</v>
      </c>
      <c r="H12" s="27"/>
    </row>
    <row r="13" spans="1:8" ht="15" customHeight="1" x14ac:dyDescent="0.2">
      <c r="A13" s="29">
        <v>4</v>
      </c>
      <c r="B13" s="29" t="s">
        <v>360</v>
      </c>
      <c r="C13" s="31">
        <f t="shared" si="0"/>
        <v>13640</v>
      </c>
      <c r="D13" s="27">
        <f>575+300+300+375+250</f>
        <v>1800</v>
      </c>
      <c r="E13" s="27">
        <f>250+325+145+250+325+160+300+145+425+475+325+350+575+225+350+225+275+475+300</f>
        <v>5900</v>
      </c>
      <c r="F13" s="27">
        <f>115+200+575+475+350+475+575+575+350+325+225+350+275</f>
        <v>4865</v>
      </c>
      <c r="G13" s="27">
        <f>300+350+425</f>
        <v>1075</v>
      </c>
      <c r="H13" s="27"/>
    </row>
    <row r="14" spans="1:8" ht="15" customHeight="1" x14ac:dyDescent="0.2">
      <c r="A14" s="29">
        <v>5</v>
      </c>
      <c r="B14" s="29" t="s">
        <v>134</v>
      </c>
      <c r="C14" s="31">
        <f t="shared" si="0"/>
        <v>13595</v>
      </c>
      <c r="D14" s="27">
        <f>275+200+175+350+350+200+575+275+160</f>
        <v>2560</v>
      </c>
      <c r="E14" s="27">
        <f>375+575+475+425+350+375+350+425+325+275+115+160+425+575+375+375+375+250+250+175+160</f>
        <v>7185</v>
      </c>
      <c r="F14" s="27">
        <f>145+130+350+325+425+425+425+375+325+275+325</f>
        <v>3525</v>
      </c>
      <c r="G14" s="27">
        <f>325</f>
        <v>325</v>
      </c>
      <c r="H14" s="27"/>
    </row>
    <row r="15" spans="1:8" ht="15" customHeight="1" x14ac:dyDescent="0.2">
      <c r="A15" s="29">
        <v>6</v>
      </c>
      <c r="B15" s="29" t="s">
        <v>335</v>
      </c>
      <c r="C15" s="31">
        <f t="shared" si="0"/>
        <v>12640</v>
      </c>
      <c r="D15" s="27">
        <f>575+325+375</f>
        <v>1275</v>
      </c>
      <c r="E15" s="27">
        <f>200+300+575+575+300+375+425+325+575+475+325+475+350+145+575+175+350</f>
        <v>6520</v>
      </c>
      <c r="F15" s="27">
        <f>130+325+325+425+475+225+250+325+275+350+350+175+300+115</f>
        <v>4045</v>
      </c>
      <c r="G15" s="27">
        <f>425+375</f>
        <v>800</v>
      </c>
      <c r="H15" s="27"/>
    </row>
    <row r="16" spans="1:8" ht="15" customHeight="1" x14ac:dyDescent="0.2">
      <c r="A16" s="29">
        <v>7</v>
      </c>
      <c r="B16" s="29" t="s">
        <v>361</v>
      </c>
      <c r="C16" s="31">
        <f t="shared" si="0"/>
        <v>11790</v>
      </c>
      <c r="D16" s="27">
        <f>350+275+325+325+275+425</f>
        <v>1975</v>
      </c>
      <c r="E16" s="27">
        <f>425+375+350+350+160+425+350+575+350+575+425</f>
        <v>4360</v>
      </c>
      <c r="F16" s="27">
        <f>225+425+130+375+425+325+425+475+250+375+225+375+475</f>
        <v>4505</v>
      </c>
      <c r="G16" s="27">
        <f>250+425+275</f>
        <v>950</v>
      </c>
      <c r="H16" s="27"/>
    </row>
    <row r="17" spans="1:8" ht="15" customHeight="1" x14ac:dyDescent="0.2">
      <c r="A17" s="29">
        <v>8</v>
      </c>
      <c r="B17" s="29" t="s">
        <v>219</v>
      </c>
      <c r="C17" s="31">
        <f t="shared" si="0"/>
        <v>11690</v>
      </c>
      <c r="D17" s="27">
        <f>2555</f>
        <v>2555</v>
      </c>
      <c r="E17" s="27">
        <f>300+115+350+350+575+115+130+475+200+575+375+350+275+575+250</f>
        <v>5010</v>
      </c>
      <c r="F17" s="27">
        <f>425+325+300+475+130+375+425</f>
        <v>2455</v>
      </c>
      <c r="G17" s="27">
        <f>250+225+145+475+575</f>
        <v>1670</v>
      </c>
      <c r="H17" s="27"/>
    </row>
    <row r="18" spans="1:8" ht="15" customHeight="1" x14ac:dyDescent="0.2">
      <c r="A18" s="29">
        <v>9</v>
      </c>
      <c r="B18" s="29" t="s">
        <v>370</v>
      </c>
      <c r="C18" s="31">
        <f t="shared" si="0"/>
        <v>10215</v>
      </c>
      <c r="D18" s="27">
        <f>200+425+425+250+250+350+115</f>
        <v>2015</v>
      </c>
      <c r="E18" s="27">
        <f>425+575+375+225+375+175+375+275+325+250+275+225+325+250+300+375+200</f>
        <v>5325</v>
      </c>
      <c r="F18" s="27">
        <f>300+160+250+200+160+350+475</f>
        <v>1895</v>
      </c>
      <c r="G18" s="27">
        <f>130+275+250+325</f>
        <v>980</v>
      </c>
      <c r="H18" s="27"/>
    </row>
    <row r="19" spans="1:8" ht="15" customHeight="1" x14ac:dyDescent="0.2">
      <c r="A19" s="29">
        <v>10</v>
      </c>
      <c r="B19" s="29" t="s">
        <v>199</v>
      </c>
      <c r="C19" s="31">
        <f t="shared" si="0"/>
        <v>7860</v>
      </c>
      <c r="D19" s="27">
        <f>275+475+475+475+250</f>
        <v>1950</v>
      </c>
      <c r="E19" s="27">
        <f>225+475+275+250+145+575+575</f>
        <v>2520</v>
      </c>
      <c r="F19" s="27">
        <f>575+225+130+145+425+115+475+425+175</f>
        <v>2690</v>
      </c>
      <c r="G19" s="27">
        <f>175+300+225</f>
        <v>700</v>
      </c>
      <c r="H19" s="27"/>
    </row>
    <row r="20" spans="1:8" ht="15" customHeight="1" x14ac:dyDescent="0.2">
      <c r="A20" s="29">
        <v>11</v>
      </c>
      <c r="B20" s="29" t="s">
        <v>366</v>
      </c>
      <c r="C20" s="30">
        <f t="shared" si="0"/>
        <v>7750</v>
      </c>
      <c r="D20" s="27">
        <f>145+250+175+200+475+145+575</f>
        <v>1965</v>
      </c>
      <c r="E20" s="27">
        <f>425+425+160+475+300+325+575+325+325+160+575+115+575+175+275</f>
        <v>5210</v>
      </c>
      <c r="F20" s="27">
        <f>0</f>
        <v>0</v>
      </c>
      <c r="G20" s="27">
        <f>575</f>
        <v>575</v>
      </c>
      <c r="H20" s="27"/>
    </row>
    <row r="21" spans="1:8" ht="15" customHeight="1" x14ac:dyDescent="0.2">
      <c r="A21" s="29">
        <v>12</v>
      </c>
      <c r="B21" s="29" t="s">
        <v>372</v>
      </c>
      <c r="C21" s="30">
        <f t="shared" si="0"/>
        <v>7470</v>
      </c>
      <c r="D21" s="27">
        <f>275+425+175</f>
        <v>875</v>
      </c>
      <c r="E21" s="27">
        <f>575+475+145+300+325+575+350+250+250+250</f>
        <v>3495</v>
      </c>
      <c r="F21" s="27">
        <f>300+250+175+375+350+350+300+350+175+130</f>
        <v>2755</v>
      </c>
      <c r="G21" s="27">
        <f>200+145</f>
        <v>345</v>
      </c>
      <c r="H21" s="27"/>
    </row>
    <row r="22" spans="1:8" ht="15" customHeight="1" x14ac:dyDescent="0.2">
      <c r="A22" s="29">
        <v>13</v>
      </c>
      <c r="B22" s="29" t="s">
        <v>362</v>
      </c>
      <c r="C22" s="30">
        <f t="shared" si="0"/>
        <v>6850</v>
      </c>
      <c r="D22" s="27">
        <f>300+225+425</f>
        <v>950</v>
      </c>
      <c r="E22" s="27">
        <f>160+275+375+375+175+575+250+160+175</f>
        <v>2520</v>
      </c>
      <c r="F22" s="27">
        <f>275+475+130+425+350+200+375+575+575</f>
        <v>3380</v>
      </c>
      <c r="G22" s="27">
        <v>0</v>
      </c>
      <c r="H22" s="27"/>
    </row>
    <row r="23" spans="1:8" ht="15" customHeight="1" x14ac:dyDescent="0.2">
      <c r="A23" s="29">
        <v>14</v>
      </c>
      <c r="B23" s="29" t="s">
        <v>283</v>
      </c>
      <c r="C23" s="30">
        <f t="shared" si="0"/>
        <v>6490</v>
      </c>
      <c r="D23" s="27">
        <f>250</f>
        <v>250</v>
      </c>
      <c r="E23" s="27">
        <f>130+145+475+275+425</f>
        <v>1450</v>
      </c>
      <c r="F23" s="27">
        <f>115+575+575+275+225+300+575+575+275+350+275+300</f>
        <v>4415</v>
      </c>
      <c r="G23" s="27">
        <f>375</f>
        <v>375</v>
      </c>
      <c r="H23" s="27"/>
    </row>
    <row r="24" spans="1:8" ht="15" customHeight="1" x14ac:dyDescent="0.2">
      <c r="A24" s="29">
        <v>15</v>
      </c>
      <c r="B24" s="29" t="s">
        <v>363</v>
      </c>
      <c r="C24" s="30">
        <f t="shared" si="0"/>
        <v>6450</v>
      </c>
      <c r="D24" s="27">
        <f>250+160+225</f>
        <v>635</v>
      </c>
      <c r="E24" s="27">
        <f>175+250+425+350+160+375+275+475+115+325+145</f>
        <v>3070</v>
      </c>
      <c r="F24" s="27">
        <f>225+160+175+475+200+145+475+175+175+425</f>
        <v>2630</v>
      </c>
      <c r="G24" s="27">
        <f>115</f>
        <v>115</v>
      </c>
      <c r="H24" s="27"/>
    </row>
    <row r="25" spans="1:8" ht="15" customHeight="1" x14ac:dyDescent="0.2">
      <c r="A25" s="29">
        <v>16</v>
      </c>
      <c r="B25" s="29" t="s">
        <v>299</v>
      </c>
      <c r="C25" s="30">
        <f t="shared" si="0"/>
        <v>6295</v>
      </c>
      <c r="D25" s="27">
        <f>350+225+225</f>
        <v>800</v>
      </c>
      <c r="E25" s="27">
        <f>275+225+275+115+250+350+160</f>
        <v>1650</v>
      </c>
      <c r="F25" s="27">
        <f>475+375+350+275+425+145+350+425+300+250</f>
        <v>3370</v>
      </c>
      <c r="G25" s="27">
        <f>225+250</f>
        <v>475</v>
      </c>
      <c r="H25" s="27"/>
    </row>
    <row r="26" spans="1:8" ht="15" customHeight="1" x14ac:dyDescent="0.2">
      <c r="A26" s="29">
        <v>17</v>
      </c>
      <c r="B26" s="29" t="s">
        <v>344</v>
      </c>
      <c r="C26" s="30">
        <f t="shared" si="0"/>
        <v>6240</v>
      </c>
      <c r="D26" s="27">
        <f>115+130+175+130</f>
        <v>550</v>
      </c>
      <c r="E26" s="27">
        <f>325+375+375+115+225+575+250+275+475</f>
        <v>2990</v>
      </c>
      <c r="F26" s="27">
        <f>160+300+250+575+145+225+130+200+130+425</f>
        <v>2540</v>
      </c>
      <c r="G26" s="27">
        <f>160</f>
        <v>160</v>
      </c>
      <c r="H26" s="27"/>
    </row>
    <row r="27" spans="1:8" ht="15" customHeight="1" x14ac:dyDescent="0.2">
      <c r="A27" s="29">
        <v>18</v>
      </c>
      <c r="B27" s="29" t="s">
        <v>320</v>
      </c>
      <c r="C27" s="30">
        <f t="shared" si="0"/>
        <v>6190</v>
      </c>
      <c r="D27" s="27">
        <f>475+375+350</f>
        <v>1200</v>
      </c>
      <c r="E27" s="27">
        <f>115+475+275+325+275+200</f>
        <v>1665</v>
      </c>
      <c r="F27" s="27">
        <f>275+425+475+300+250+275+275+350</f>
        <v>2625</v>
      </c>
      <c r="G27" s="27">
        <f>475+225</f>
        <v>700</v>
      </c>
      <c r="H27" s="27"/>
    </row>
    <row r="28" spans="1:8" ht="15" customHeight="1" x14ac:dyDescent="0.2">
      <c r="A28" s="29">
        <v>19</v>
      </c>
      <c r="B28" s="29" t="s">
        <v>356</v>
      </c>
      <c r="C28" s="30">
        <f t="shared" si="0"/>
        <v>6085</v>
      </c>
      <c r="D28" s="27">
        <f>325+350+160+325</f>
        <v>1160</v>
      </c>
      <c r="E28" s="27">
        <f>350+300+225+475+425+425+225</f>
        <v>2425</v>
      </c>
      <c r="F28" s="27">
        <f>475+325+225+300</f>
        <v>1325</v>
      </c>
      <c r="G28" s="27">
        <f>425+475+275</f>
        <v>1175</v>
      </c>
      <c r="H28" s="27"/>
    </row>
    <row r="29" spans="1:8" ht="15" customHeight="1" x14ac:dyDescent="0.2">
      <c r="A29" s="29">
        <v>20</v>
      </c>
      <c r="B29" s="29" t="s">
        <v>288</v>
      </c>
      <c r="C29" s="30">
        <f t="shared" si="0"/>
        <v>5760</v>
      </c>
      <c r="D29" s="27">
        <f>130+475+200</f>
        <v>805</v>
      </c>
      <c r="E29" s="27">
        <f>325+375+475+575+350</f>
        <v>2100</v>
      </c>
      <c r="F29" s="27">
        <f>375+475+160+145+475+575+275</f>
        <v>2480</v>
      </c>
      <c r="G29" s="27">
        <f>375</f>
        <v>375</v>
      </c>
      <c r="H29" s="27"/>
    </row>
    <row r="30" spans="1:8" ht="15" customHeight="1" x14ac:dyDescent="0.2">
      <c r="A30" s="29">
        <v>21</v>
      </c>
      <c r="B30" s="29" t="s">
        <v>313</v>
      </c>
      <c r="C30" s="30">
        <f t="shared" si="0"/>
        <v>5510</v>
      </c>
      <c r="D30" s="27">
        <f>575+130+425</f>
        <v>1130</v>
      </c>
      <c r="E30" s="27">
        <f>275+325+475+130+375</f>
        <v>1580</v>
      </c>
      <c r="F30" s="27">
        <f>175+275+575+575+425+300+475</f>
        <v>2800</v>
      </c>
      <c r="G30" s="27">
        <f>0</f>
        <v>0</v>
      </c>
      <c r="H30" s="27"/>
    </row>
    <row r="31" spans="1:8" ht="15" customHeight="1" x14ac:dyDescent="0.2">
      <c r="A31" s="29">
        <v>22</v>
      </c>
      <c r="B31" s="29" t="s">
        <v>229</v>
      </c>
      <c r="C31" s="30">
        <f t="shared" si="0"/>
        <v>5025</v>
      </c>
      <c r="D31" s="27">
        <f>300+325+325</f>
        <v>950</v>
      </c>
      <c r="E31" s="27">
        <f>425+300+425+575+375</f>
        <v>2100</v>
      </c>
      <c r="F31" s="27">
        <f>225+575+325+425</f>
        <v>1550</v>
      </c>
      <c r="G31" s="27">
        <f>425</f>
        <v>425</v>
      </c>
      <c r="H31" s="27"/>
    </row>
    <row r="32" spans="1:8" ht="15" customHeight="1" x14ac:dyDescent="0.2">
      <c r="A32" s="29">
        <v>23</v>
      </c>
      <c r="B32" s="29" t="s">
        <v>342</v>
      </c>
      <c r="C32" s="30">
        <f t="shared" si="0"/>
        <v>4980</v>
      </c>
      <c r="D32" s="27">
        <f>375+350</f>
        <v>725</v>
      </c>
      <c r="E32" s="27">
        <f>275+145+130+175+325</f>
        <v>1050</v>
      </c>
      <c r="F32" s="27">
        <f>350+300+130+375+575+175+375</f>
        <v>2280</v>
      </c>
      <c r="G32" s="27">
        <f>350+575</f>
        <v>925</v>
      </c>
      <c r="H32" s="27"/>
    </row>
    <row r="33" spans="1:8" ht="15" customHeight="1" x14ac:dyDescent="0.2">
      <c r="A33" s="29">
        <v>24</v>
      </c>
      <c r="B33" s="29" t="s">
        <v>371</v>
      </c>
      <c r="C33" s="30">
        <f t="shared" si="0"/>
        <v>4940</v>
      </c>
      <c r="D33" s="27">
        <f>325+375</f>
        <v>700</v>
      </c>
      <c r="E33" s="27">
        <f>200+250+200+475+475+225+145+145</f>
        <v>2115</v>
      </c>
      <c r="F33" s="27">
        <f>200+225+225+250+375+250</f>
        <v>1525</v>
      </c>
      <c r="G33" s="27">
        <f>175+425</f>
        <v>600</v>
      </c>
      <c r="H33" s="27"/>
    </row>
    <row r="34" spans="1:8" ht="15" customHeight="1" x14ac:dyDescent="0.2">
      <c r="A34" s="29">
        <v>25</v>
      </c>
      <c r="B34" s="29" t="s">
        <v>296</v>
      </c>
      <c r="C34" s="30">
        <f t="shared" si="0"/>
        <v>4775</v>
      </c>
      <c r="D34" s="27">
        <f>115</f>
        <v>115</v>
      </c>
      <c r="E34" s="27">
        <f>175+300+130+275+575+200</f>
        <v>1655</v>
      </c>
      <c r="F34" s="27">
        <f>575+145+375+145+475+115+115+225+145+115</f>
        <v>2430</v>
      </c>
      <c r="G34" s="27">
        <f>575</f>
        <v>575</v>
      </c>
      <c r="H34" s="27"/>
    </row>
    <row r="35" spans="1:8" ht="15" customHeight="1" x14ac:dyDescent="0.2">
      <c r="A35" s="29">
        <v>26</v>
      </c>
      <c r="B35" s="29" t="s">
        <v>249</v>
      </c>
      <c r="C35" s="30">
        <f t="shared" si="0"/>
        <v>4540</v>
      </c>
      <c r="D35" s="27">
        <f>425+145+575</f>
        <v>1145</v>
      </c>
      <c r="E35" s="27">
        <f>425+575+425+145+300+575</f>
        <v>2445</v>
      </c>
      <c r="F35" s="27">
        <f>130+200+250+225</f>
        <v>805</v>
      </c>
      <c r="G35" s="27">
        <f>145</f>
        <v>145</v>
      </c>
      <c r="H35" s="27"/>
    </row>
    <row r="36" spans="1:8" ht="15" customHeight="1" x14ac:dyDescent="0.2">
      <c r="A36" s="29">
        <v>27</v>
      </c>
      <c r="B36" s="29" t="s">
        <v>543</v>
      </c>
      <c r="C36" s="30">
        <f t="shared" si="0"/>
        <v>4515</v>
      </c>
      <c r="D36" s="27">
        <f>200</f>
        <v>200</v>
      </c>
      <c r="E36" s="27">
        <f>575+160+225+425+225+350</f>
        <v>1960</v>
      </c>
      <c r="F36" s="27">
        <f>375+325+145+475+160+225</f>
        <v>1705</v>
      </c>
      <c r="G36" s="27">
        <f>300+350</f>
        <v>650</v>
      </c>
      <c r="H36" s="27"/>
    </row>
    <row r="37" spans="1:8" ht="15" customHeight="1" x14ac:dyDescent="0.2">
      <c r="A37" s="29">
        <v>28</v>
      </c>
      <c r="B37" s="29" t="s">
        <v>357</v>
      </c>
      <c r="C37" s="30">
        <f t="shared" si="0"/>
        <v>4460</v>
      </c>
      <c r="D37" s="27">
        <f>145+175+175+475</f>
        <v>970</v>
      </c>
      <c r="E37" s="27">
        <f>275+250+325+175+130+250+425</f>
        <v>1830</v>
      </c>
      <c r="F37" s="27">
        <f>250+160+350+175+300+425</f>
        <v>1660</v>
      </c>
      <c r="G37" s="27">
        <f>0</f>
        <v>0</v>
      </c>
      <c r="H37" s="27"/>
    </row>
    <row r="38" spans="1:8" ht="15" customHeight="1" x14ac:dyDescent="0.2">
      <c r="A38" s="29">
        <v>29</v>
      </c>
      <c r="B38" s="29" t="s">
        <v>393</v>
      </c>
      <c r="C38" s="30">
        <f t="shared" si="0"/>
        <v>4370</v>
      </c>
      <c r="D38" s="27">
        <f>575+200+225</f>
        <v>1000</v>
      </c>
      <c r="E38" s="27">
        <f>475+475+425+200+300+145+175</f>
        <v>2195</v>
      </c>
      <c r="F38" s="27">
        <f>325+175</f>
        <v>500</v>
      </c>
      <c r="G38" s="27">
        <f>300+375</f>
        <v>675</v>
      </c>
      <c r="H38" s="27"/>
    </row>
    <row r="39" spans="1:8" ht="15" customHeight="1" x14ac:dyDescent="0.2">
      <c r="A39" s="29">
        <v>30</v>
      </c>
      <c r="B39" s="29" t="s">
        <v>334</v>
      </c>
      <c r="C39" s="30">
        <f t="shared" si="0"/>
        <v>4360</v>
      </c>
      <c r="D39" s="27">
        <f>375+350</f>
        <v>725</v>
      </c>
      <c r="E39" s="27">
        <f>300+145+475+375</f>
        <v>1295</v>
      </c>
      <c r="F39" s="27">
        <f>350+375+115+425+130+250</f>
        <v>1645</v>
      </c>
      <c r="G39" s="27">
        <f>145+350+200</f>
        <v>695</v>
      </c>
      <c r="H39" s="27"/>
    </row>
    <row r="40" spans="1:8" ht="15" customHeight="1" x14ac:dyDescent="0.2">
      <c r="A40" s="29">
        <v>31</v>
      </c>
      <c r="B40" s="29" t="s">
        <v>405</v>
      </c>
      <c r="C40" s="30">
        <f t="shared" si="0"/>
        <v>4075</v>
      </c>
      <c r="D40" s="27">
        <v>0</v>
      </c>
      <c r="E40" s="27">
        <f>130+575+575+575+250+145+325+325</f>
        <v>2900</v>
      </c>
      <c r="F40" s="27">
        <f>575+375+225</f>
        <v>1175</v>
      </c>
      <c r="G40" s="27">
        <f>0</f>
        <v>0</v>
      </c>
      <c r="H40" s="27"/>
    </row>
    <row r="41" spans="1:8" ht="15" customHeight="1" x14ac:dyDescent="0.2">
      <c r="A41" s="29">
        <v>31</v>
      </c>
      <c r="B41" s="29" t="s">
        <v>268</v>
      </c>
      <c r="C41" s="30">
        <f t="shared" si="0"/>
        <v>4075</v>
      </c>
      <c r="D41" s="27">
        <f>145+275+250</f>
        <v>670</v>
      </c>
      <c r="E41" s="27">
        <f>375+175+160+425+325+300</f>
        <v>1760</v>
      </c>
      <c r="F41" s="27">
        <f>425+225+375+130+115</f>
        <v>1270</v>
      </c>
      <c r="G41" s="27">
        <f>375</f>
        <v>375</v>
      </c>
      <c r="H41" s="27"/>
    </row>
    <row r="42" spans="1:8" ht="15" customHeight="1" x14ac:dyDescent="0.2">
      <c r="A42" s="29">
        <v>32</v>
      </c>
      <c r="B42" s="29" t="s">
        <v>248</v>
      </c>
      <c r="C42" s="30">
        <f t="shared" si="0"/>
        <v>3985</v>
      </c>
      <c r="D42" s="27">
        <f>250+300+275</f>
        <v>825</v>
      </c>
      <c r="E42" s="27">
        <f>200+130+200+225+160+300+275</f>
        <v>1490</v>
      </c>
      <c r="F42" s="27">
        <f>175+200+325+175+225+160+160</f>
        <v>1420</v>
      </c>
      <c r="G42" s="27">
        <f>250</f>
        <v>250</v>
      </c>
      <c r="H42" s="27"/>
    </row>
    <row r="43" spans="1:8" ht="15" customHeight="1" x14ac:dyDescent="0.2">
      <c r="A43" s="29">
        <v>33</v>
      </c>
      <c r="B43" s="29" t="s">
        <v>338</v>
      </c>
      <c r="C43" s="30">
        <f t="shared" si="0"/>
        <v>3825</v>
      </c>
      <c r="D43" s="27">
        <f>175+175+475</f>
        <v>825</v>
      </c>
      <c r="E43" s="27">
        <f>475+130+250+425+160+325</f>
        <v>1765</v>
      </c>
      <c r="F43" s="27">
        <f>375+475+160+225</f>
        <v>1235</v>
      </c>
      <c r="G43" s="27">
        <v>0</v>
      </c>
      <c r="H43" s="27"/>
    </row>
    <row r="44" spans="1:8" ht="15" customHeight="1" x14ac:dyDescent="0.2">
      <c r="A44" s="29">
        <v>34</v>
      </c>
      <c r="B44" s="29" t="s">
        <v>333</v>
      </c>
      <c r="C44" s="30">
        <f t="shared" si="0"/>
        <v>3745</v>
      </c>
      <c r="D44" s="27">
        <f>225+200+300</f>
        <v>725</v>
      </c>
      <c r="E44" s="27">
        <f>200+350+200+115+175</f>
        <v>1040</v>
      </c>
      <c r="F44" s="27">
        <f>350+160+275+325+200+145+200</f>
        <v>1655</v>
      </c>
      <c r="G44" s="27">
        <f>325</f>
        <v>325</v>
      </c>
      <c r="H44" s="27"/>
    </row>
    <row r="45" spans="1:8" ht="15" customHeight="1" x14ac:dyDescent="0.2">
      <c r="A45" s="29">
        <v>35</v>
      </c>
      <c r="B45" s="29" t="s">
        <v>392</v>
      </c>
      <c r="C45" s="30">
        <f t="shared" si="0"/>
        <v>3645</v>
      </c>
      <c r="D45" s="27">
        <f>250</f>
        <v>250</v>
      </c>
      <c r="E45" s="27">
        <f>275+225+225</f>
        <v>725</v>
      </c>
      <c r="F45" s="27">
        <f>475+250+325+115+425+145</f>
        <v>1735</v>
      </c>
      <c r="G45" s="27">
        <f>575+200+160</f>
        <v>935</v>
      </c>
      <c r="H45" s="27"/>
    </row>
    <row r="46" spans="1:8" ht="15" customHeight="1" x14ac:dyDescent="0.2">
      <c r="A46" s="29">
        <v>36</v>
      </c>
      <c r="B46" s="29" t="s">
        <v>345</v>
      </c>
      <c r="C46" s="30">
        <f t="shared" si="0"/>
        <v>3505</v>
      </c>
      <c r="D46" s="27">
        <f>115+325</f>
        <v>440</v>
      </c>
      <c r="E46" s="27">
        <f>250+250+225+160+575+425</f>
        <v>1885</v>
      </c>
      <c r="F46" s="27">
        <f>160+275+325+145</f>
        <v>905</v>
      </c>
      <c r="G46" s="27">
        <f>275</f>
        <v>275</v>
      </c>
      <c r="H46" s="27"/>
    </row>
    <row r="47" spans="1:8" ht="15" customHeight="1" x14ac:dyDescent="0.2">
      <c r="A47" s="29">
        <v>37</v>
      </c>
      <c r="B47" s="29" t="s">
        <v>388</v>
      </c>
      <c r="C47" s="30">
        <f t="shared" si="0"/>
        <v>3455</v>
      </c>
      <c r="D47" s="27">
        <f>145</f>
        <v>145</v>
      </c>
      <c r="E47" s="27">
        <f>350+475+375+425+375</f>
        <v>2000</v>
      </c>
      <c r="F47" s="27">
        <f>225+425+200+160</f>
        <v>1010</v>
      </c>
      <c r="G47" s="27">
        <f>300</f>
        <v>300</v>
      </c>
      <c r="H47" s="27"/>
    </row>
    <row r="48" spans="1:8" ht="15" customHeight="1" x14ac:dyDescent="0.2">
      <c r="A48" s="29">
        <v>38</v>
      </c>
      <c r="B48" s="29" t="s">
        <v>308</v>
      </c>
      <c r="C48" s="30">
        <f t="shared" si="0"/>
        <v>3285</v>
      </c>
      <c r="D48" s="27">
        <f>175</f>
        <v>175</v>
      </c>
      <c r="E48" s="27">
        <f>375+250+475+275+275</f>
        <v>1650</v>
      </c>
      <c r="F48" s="27">
        <f>375+160+575</f>
        <v>1110</v>
      </c>
      <c r="G48" s="27">
        <f>350</f>
        <v>350</v>
      </c>
      <c r="H48" s="27"/>
    </row>
    <row r="49" spans="1:8" ht="15" customHeight="1" x14ac:dyDescent="0.2">
      <c r="A49" s="29">
        <v>39</v>
      </c>
      <c r="B49" s="29" t="s">
        <v>536</v>
      </c>
      <c r="C49" s="30">
        <f t="shared" si="0"/>
        <v>3050</v>
      </c>
      <c r="D49" s="27">
        <f>160+250</f>
        <v>410</v>
      </c>
      <c r="E49" s="27">
        <f>350+250+175+115</f>
        <v>890</v>
      </c>
      <c r="F49" s="27">
        <f>325+200+425+325+275+200</f>
        <v>1750</v>
      </c>
      <c r="G49" s="27">
        <f>0</f>
        <v>0</v>
      </c>
      <c r="H49" s="27"/>
    </row>
    <row r="50" spans="1:8" ht="15" customHeight="1" x14ac:dyDescent="0.2">
      <c r="A50" s="29">
        <v>40</v>
      </c>
      <c r="B50" s="29" t="s">
        <v>367</v>
      </c>
      <c r="C50" s="30">
        <f t="shared" si="0"/>
        <v>2860</v>
      </c>
      <c r="D50" s="27">
        <f>130+200+225+325+130</f>
        <v>1010</v>
      </c>
      <c r="E50" s="27">
        <f>300+300+325+375+325+225</f>
        <v>1850</v>
      </c>
      <c r="F50" s="27">
        <f>0</f>
        <v>0</v>
      </c>
      <c r="G50" s="27">
        <f>0</f>
        <v>0</v>
      </c>
      <c r="H50" s="27"/>
    </row>
    <row r="51" spans="1:8" ht="15" customHeight="1" x14ac:dyDescent="0.2">
      <c r="A51" s="29">
        <v>41</v>
      </c>
      <c r="B51" s="29" t="s">
        <v>397</v>
      </c>
      <c r="C51" s="30">
        <f t="shared" si="0"/>
        <v>2825</v>
      </c>
      <c r="D51" s="27">
        <f>575</f>
        <v>575</v>
      </c>
      <c r="E51" s="27">
        <f>350+350</f>
        <v>700</v>
      </c>
      <c r="F51" s="27">
        <f>350+300+475+425</f>
        <v>1550</v>
      </c>
      <c r="G51" s="27">
        <f>0</f>
        <v>0</v>
      </c>
      <c r="H51" s="27"/>
    </row>
    <row r="52" spans="1:8" ht="15" customHeight="1" x14ac:dyDescent="0.2">
      <c r="A52" s="29">
        <v>42</v>
      </c>
      <c r="B52" s="29" t="s">
        <v>427</v>
      </c>
      <c r="C52" s="30">
        <f t="shared" si="0"/>
        <v>2775</v>
      </c>
      <c r="D52" s="27">
        <v>0</v>
      </c>
      <c r="E52" s="27">
        <f>375+575+375+300+300+225</f>
        <v>2150</v>
      </c>
      <c r="F52" s="27">
        <f>375+250</f>
        <v>625</v>
      </c>
      <c r="G52" s="27">
        <f>0</f>
        <v>0</v>
      </c>
      <c r="H52" s="27"/>
    </row>
    <row r="53" spans="1:8" ht="15" customHeight="1" x14ac:dyDescent="0.2">
      <c r="A53" s="29">
        <v>43</v>
      </c>
      <c r="B53" s="29" t="s">
        <v>336</v>
      </c>
      <c r="C53" s="30">
        <f t="shared" si="0"/>
        <v>2750</v>
      </c>
      <c r="D53" s="27">
        <f>425+145+300</f>
        <v>870</v>
      </c>
      <c r="E53" s="27">
        <f>250+475+200+130</f>
        <v>1055</v>
      </c>
      <c r="F53" s="27">
        <f>475+350</f>
        <v>825</v>
      </c>
      <c r="G53" s="27">
        <f>0</f>
        <v>0</v>
      </c>
      <c r="H53" s="27"/>
    </row>
    <row r="54" spans="1:8" ht="15" customHeight="1" x14ac:dyDescent="0.2">
      <c r="A54" s="29">
        <v>44</v>
      </c>
      <c r="B54" s="29" t="s">
        <v>465</v>
      </c>
      <c r="C54" s="30">
        <f t="shared" si="0"/>
        <v>2695</v>
      </c>
      <c r="D54" s="27">
        <v>0</v>
      </c>
      <c r="E54" s="27">
        <f>225+350</f>
        <v>575</v>
      </c>
      <c r="F54" s="27">
        <f>575+350+145+325+375</f>
        <v>1770</v>
      </c>
      <c r="G54" s="27">
        <f>350</f>
        <v>350</v>
      </c>
      <c r="H54" s="27"/>
    </row>
    <row r="55" spans="1:8" ht="15" customHeight="1" x14ac:dyDescent="0.2">
      <c r="A55" s="29">
        <v>45</v>
      </c>
      <c r="B55" s="29" t="s">
        <v>409</v>
      </c>
      <c r="C55" s="30">
        <f t="shared" si="0"/>
        <v>2650</v>
      </c>
      <c r="D55" s="27">
        <v>0</v>
      </c>
      <c r="E55" s="27">
        <f>225+350</f>
        <v>575</v>
      </c>
      <c r="F55" s="27">
        <f>300+475+250+475</f>
        <v>1500</v>
      </c>
      <c r="G55" s="27">
        <f>575</f>
        <v>575</v>
      </c>
      <c r="H55" s="27"/>
    </row>
    <row r="56" spans="1:8" ht="15" customHeight="1" x14ac:dyDescent="0.2">
      <c r="A56" s="29">
        <v>46</v>
      </c>
      <c r="B56" s="29" t="s">
        <v>228</v>
      </c>
      <c r="C56" s="30">
        <f t="shared" si="0"/>
        <v>2575</v>
      </c>
      <c r="D56" s="27">
        <f>475</f>
        <v>475</v>
      </c>
      <c r="E56" s="27">
        <f>425+475+575+200</f>
        <v>1675</v>
      </c>
      <c r="F56" s="27">
        <f>425</f>
        <v>425</v>
      </c>
      <c r="G56" s="27">
        <v>0</v>
      </c>
      <c r="H56" s="27"/>
    </row>
    <row r="57" spans="1:8" ht="15" customHeight="1" x14ac:dyDescent="0.2">
      <c r="A57" s="29">
        <v>47</v>
      </c>
      <c r="B57" s="29" t="s">
        <v>408</v>
      </c>
      <c r="C57" s="30">
        <f t="shared" si="0"/>
        <v>2500</v>
      </c>
      <c r="D57" s="27">
        <v>0</v>
      </c>
      <c r="E57" s="27">
        <f>250+275+425</f>
        <v>950</v>
      </c>
      <c r="F57" s="27">
        <f>350+300+350+300</f>
        <v>1300</v>
      </c>
      <c r="G57" s="27">
        <f>250</f>
        <v>250</v>
      </c>
      <c r="H57" s="27"/>
    </row>
    <row r="58" spans="1:8" ht="15" customHeight="1" x14ac:dyDescent="0.2">
      <c r="A58" s="29">
        <v>48</v>
      </c>
      <c r="B58" s="29" t="s">
        <v>398</v>
      </c>
      <c r="C58" s="30">
        <f t="shared" si="0"/>
        <v>2500</v>
      </c>
      <c r="D58" s="27">
        <f>225</f>
        <v>225</v>
      </c>
      <c r="E58" s="27">
        <f>475+475+225+475+350</f>
        <v>2000</v>
      </c>
      <c r="F58" s="27">
        <f>275</f>
        <v>275</v>
      </c>
      <c r="G58" s="27">
        <f>0</f>
        <v>0</v>
      </c>
      <c r="H58" s="27"/>
    </row>
    <row r="59" spans="1:8" ht="15" customHeight="1" x14ac:dyDescent="0.2">
      <c r="A59" s="29">
        <v>49</v>
      </c>
      <c r="B59" s="29" t="s">
        <v>365</v>
      </c>
      <c r="C59" s="30">
        <f t="shared" si="0"/>
        <v>2485</v>
      </c>
      <c r="D59" s="27">
        <f>160+350</f>
        <v>510</v>
      </c>
      <c r="E59" s="27">
        <f>325+425+375</f>
        <v>1125</v>
      </c>
      <c r="F59" s="27">
        <f>200+275+375</f>
        <v>850</v>
      </c>
      <c r="G59" s="27">
        <f>0</f>
        <v>0</v>
      </c>
      <c r="H59" s="27"/>
    </row>
    <row r="60" spans="1:8" ht="15" customHeight="1" x14ac:dyDescent="0.2">
      <c r="A60" s="29">
        <v>50</v>
      </c>
      <c r="B60" s="29" t="s">
        <v>294</v>
      </c>
      <c r="C60" s="30">
        <f t="shared" si="0"/>
        <v>2415</v>
      </c>
      <c r="D60" s="27">
        <f>575+145</f>
        <v>720</v>
      </c>
      <c r="E60" s="27">
        <f>145+350+375</f>
        <v>870</v>
      </c>
      <c r="F60" s="27">
        <f>300+200+325</f>
        <v>825</v>
      </c>
      <c r="G60" s="27">
        <f>0</f>
        <v>0</v>
      </c>
      <c r="H60" s="27"/>
    </row>
    <row r="61" spans="1:8" ht="15" customHeight="1" x14ac:dyDescent="0.2">
      <c r="A61" s="29">
        <v>51</v>
      </c>
      <c r="B61" s="29" t="s">
        <v>395</v>
      </c>
      <c r="C61" s="30">
        <f t="shared" si="0"/>
        <v>2340</v>
      </c>
      <c r="D61" s="27">
        <f>145</f>
        <v>145</v>
      </c>
      <c r="E61" s="27">
        <f>275+225+225+250+300+130+115</f>
        <v>1520</v>
      </c>
      <c r="F61" s="27">
        <f>115+115</f>
        <v>230</v>
      </c>
      <c r="G61" s="27">
        <f>300+145</f>
        <v>445</v>
      </c>
      <c r="H61" s="27"/>
    </row>
    <row r="62" spans="1:8" ht="15" customHeight="1" x14ac:dyDescent="0.2">
      <c r="A62" s="29">
        <v>52</v>
      </c>
      <c r="B62" s="29" t="s">
        <v>479</v>
      </c>
      <c r="C62" s="30">
        <f t="shared" si="0"/>
        <v>2270</v>
      </c>
      <c r="D62" s="27">
        <v>0</v>
      </c>
      <c r="E62" s="27">
        <f>425</f>
        <v>425</v>
      </c>
      <c r="F62" s="27">
        <f>130+115+160+200+475+375</f>
        <v>1455</v>
      </c>
      <c r="G62" s="27">
        <f>115+275</f>
        <v>390</v>
      </c>
      <c r="H62" s="27"/>
    </row>
    <row r="63" spans="1:8" ht="15" customHeight="1" x14ac:dyDescent="0.2">
      <c r="A63" s="29">
        <v>53</v>
      </c>
      <c r="B63" s="29" t="s">
        <v>292</v>
      </c>
      <c r="C63" s="30">
        <f t="shared" si="0"/>
        <v>2245</v>
      </c>
      <c r="D63" s="27">
        <v>0</v>
      </c>
      <c r="E63" s="27">
        <f>250+115+425+475</f>
        <v>1265</v>
      </c>
      <c r="F63" s="27">
        <f>425+425+130</f>
        <v>980</v>
      </c>
      <c r="G63" s="27">
        <f>0</f>
        <v>0</v>
      </c>
      <c r="H63" s="27"/>
    </row>
    <row r="64" spans="1:8" ht="15" customHeight="1" x14ac:dyDescent="0.2">
      <c r="A64" s="29">
        <v>53</v>
      </c>
      <c r="B64" s="29" t="s">
        <v>201</v>
      </c>
      <c r="C64" s="30">
        <f t="shared" si="0"/>
        <v>2245</v>
      </c>
      <c r="D64" s="27">
        <f>350</f>
        <v>350</v>
      </c>
      <c r="E64" s="27">
        <f>300+575+300+160</f>
        <v>1335</v>
      </c>
      <c r="F64" s="27">
        <f>200+200</f>
        <v>400</v>
      </c>
      <c r="G64" s="27">
        <f>160</f>
        <v>160</v>
      </c>
      <c r="H64" s="27"/>
    </row>
    <row r="65" spans="1:8" ht="15" customHeight="1" x14ac:dyDescent="0.2">
      <c r="A65" s="29">
        <v>54</v>
      </c>
      <c r="B65" s="29" t="s">
        <v>385</v>
      </c>
      <c r="C65" s="30">
        <f t="shared" si="0"/>
        <v>2185</v>
      </c>
      <c r="D65" s="27">
        <f>175</f>
        <v>175</v>
      </c>
      <c r="E65" s="27">
        <f>475+425+160</f>
        <v>1060</v>
      </c>
      <c r="F65" s="27">
        <f>275+475</f>
        <v>750</v>
      </c>
      <c r="G65" s="27">
        <f>200</f>
        <v>200</v>
      </c>
      <c r="H65" s="27"/>
    </row>
    <row r="66" spans="1:8" ht="15" customHeight="1" x14ac:dyDescent="0.2">
      <c r="A66" s="29">
        <v>55</v>
      </c>
      <c r="B66" s="29" t="s">
        <v>383</v>
      </c>
      <c r="C66" s="30">
        <f t="shared" si="0"/>
        <v>2175</v>
      </c>
      <c r="D66" s="27">
        <f>300</f>
        <v>300</v>
      </c>
      <c r="E66" s="27">
        <f>300+175+350</f>
        <v>825</v>
      </c>
      <c r="F66" s="27">
        <f>250+425</f>
        <v>675</v>
      </c>
      <c r="G66" s="27">
        <f>375</f>
        <v>375</v>
      </c>
      <c r="H66" s="27"/>
    </row>
    <row r="67" spans="1:8" ht="15" customHeight="1" x14ac:dyDescent="0.2">
      <c r="A67" s="29">
        <v>56</v>
      </c>
      <c r="B67" s="29" t="s">
        <v>378</v>
      </c>
      <c r="C67" s="30">
        <f t="shared" si="0"/>
        <v>2125</v>
      </c>
      <c r="D67" s="27">
        <f>475</f>
        <v>475</v>
      </c>
      <c r="E67" s="27">
        <f>250+425</f>
        <v>675</v>
      </c>
      <c r="F67" s="27">
        <f>350+350</f>
        <v>700</v>
      </c>
      <c r="G67" s="27">
        <f>275</f>
        <v>275</v>
      </c>
      <c r="H67" s="27"/>
    </row>
    <row r="68" spans="1:8" ht="15" customHeight="1" x14ac:dyDescent="0.2">
      <c r="A68" s="29">
        <v>57</v>
      </c>
      <c r="B68" s="29" t="s">
        <v>457</v>
      </c>
      <c r="C68" s="30">
        <f t="shared" si="0"/>
        <v>2050</v>
      </c>
      <c r="D68" s="27">
        <v>0</v>
      </c>
      <c r="E68" s="27">
        <f>175+200+350+475+275</f>
        <v>1475</v>
      </c>
      <c r="F68" s="27">
        <f>575</f>
        <v>575</v>
      </c>
      <c r="G68" s="27">
        <f>0</f>
        <v>0</v>
      </c>
      <c r="H68" s="27"/>
    </row>
    <row r="69" spans="1:8" ht="15" customHeight="1" x14ac:dyDescent="0.2">
      <c r="A69" s="29">
        <v>58</v>
      </c>
      <c r="B69" s="29" t="s">
        <v>416</v>
      </c>
      <c r="C69" s="30">
        <f t="shared" si="0"/>
        <v>1900</v>
      </c>
      <c r="D69" s="27">
        <v>0</v>
      </c>
      <c r="E69" s="27">
        <f>225+325+145+250+130</f>
        <v>1075</v>
      </c>
      <c r="F69" s="27">
        <f>575+250</f>
        <v>825</v>
      </c>
      <c r="G69" s="27">
        <v>0</v>
      </c>
      <c r="H69" s="27"/>
    </row>
    <row r="70" spans="1:8" ht="15" customHeight="1" x14ac:dyDescent="0.2">
      <c r="A70" s="29">
        <v>59</v>
      </c>
      <c r="B70" s="29" t="s">
        <v>380</v>
      </c>
      <c r="C70" s="30">
        <f t="shared" si="0"/>
        <v>1880</v>
      </c>
      <c r="D70" s="27">
        <f>375</f>
        <v>375</v>
      </c>
      <c r="E70" s="27">
        <f>130+325+325+275</f>
        <v>1055</v>
      </c>
      <c r="F70" s="27">
        <f>175+130</f>
        <v>305</v>
      </c>
      <c r="G70" s="27">
        <f>145</f>
        <v>145</v>
      </c>
      <c r="H70" s="27"/>
    </row>
    <row r="71" spans="1:8" ht="15" customHeight="1" x14ac:dyDescent="0.2">
      <c r="A71" s="29">
        <v>60</v>
      </c>
      <c r="B71" s="29" t="s">
        <v>65</v>
      </c>
      <c r="C71" s="30">
        <f t="shared" si="0"/>
        <v>1835</v>
      </c>
      <c r="D71" s="27">
        <f>250</f>
        <v>250</v>
      </c>
      <c r="E71" s="27">
        <f>175+175+275+200+160</f>
        <v>985</v>
      </c>
      <c r="F71" s="27">
        <f>225+375</f>
        <v>600</v>
      </c>
      <c r="G71" s="27">
        <f>0</f>
        <v>0</v>
      </c>
      <c r="H71" s="27"/>
    </row>
    <row r="72" spans="1:8" ht="15" customHeight="1" x14ac:dyDescent="0.2">
      <c r="A72" s="29">
        <v>61</v>
      </c>
      <c r="B72" s="29" t="s">
        <v>386</v>
      </c>
      <c r="C72" s="30">
        <f t="shared" si="0"/>
        <v>1825</v>
      </c>
      <c r="D72" s="27">
        <f>200</f>
        <v>200</v>
      </c>
      <c r="E72" s="27">
        <f>275</f>
        <v>275</v>
      </c>
      <c r="F72" s="27">
        <f>200+375+425</f>
        <v>1000</v>
      </c>
      <c r="G72" s="27">
        <f>350</f>
        <v>350</v>
      </c>
      <c r="H72" s="27"/>
    </row>
    <row r="73" spans="1:8" ht="15" customHeight="1" x14ac:dyDescent="0.2">
      <c r="A73" s="29">
        <v>62</v>
      </c>
      <c r="B73" s="29" t="s">
        <v>303</v>
      </c>
      <c r="C73" s="30">
        <f t="shared" si="0"/>
        <v>1820</v>
      </c>
      <c r="D73" s="27">
        <f>325+160</f>
        <v>485</v>
      </c>
      <c r="E73" s="27">
        <f>375+200+250</f>
        <v>825</v>
      </c>
      <c r="F73" s="27">
        <f>115+250+145</f>
        <v>510</v>
      </c>
      <c r="G73" s="27">
        <v>0</v>
      </c>
      <c r="H73" s="27"/>
    </row>
    <row r="74" spans="1:8" ht="15" customHeight="1" x14ac:dyDescent="0.2">
      <c r="A74" s="29">
        <v>63</v>
      </c>
      <c r="B74" s="29" t="s">
        <v>455</v>
      </c>
      <c r="C74" s="30">
        <f t="shared" ref="C74:C137" si="1">SUM(D74:H74)</f>
        <v>1815</v>
      </c>
      <c r="D74" s="27">
        <v>0</v>
      </c>
      <c r="E74" s="27">
        <f>575+115+175+300</f>
        <v>1165</v>
      </c>
      <c r="F74" s="27">
        <f>225</f>
        <v>225</v>
      </c>
      <c r="G74" s="27">
        <f>425</f>
        <v>425</v>
      </c>
      <c r="H74" s="27"/>
    </row>
    <row r="75" spans="1:8" ht="15" customHeight="1" x14ac:dyDescent="0.2">
      <c r="A75" s="29">
        <v>64</v>
      </c>
      <c r="B75" s="29" t="s">
        <v>399</v>
      </c>
      <c r="C75" s="30">
        <f t="shared" si="1"/>
        <v>1735</v>
      </c>
      <c r="D75" s="27">
        <f>375</f>
        <v>375</v>
      </c>
      <c r="E75" s="27">
        <f>175+160+130+145</f>
        <v>610</v>
      </c>
      <c r="F75" s="27">
        <f>350+200+200</f>
        <v>750</v>
      </c>
      <c r="G75" s="27">
        <v>0</v>
      </c>
      <c r="H75" s="27"/>
    </row>
    <row r="76" spans="1:8" ht="15" customHeight="1" x14ac:dyDescent="0.2">
      <c r="A76" s="28"/>
      <c r="B76" s="28" t="s">
        <v>389</v>
      </c>
      <c r="C76" s="27">
        <f t="shared" si="1"/>
        <v>1685</v>
      </c>
      <c r="D76" s="27">
        <f>130</f>
        <v>130</v>
      </c>
      <c r="E76" s="27">
        <f>275+300+475</f>
        <v>1050</v>
      </c>
      <c r="F76" s="27">
        <f>375+130</f>
        <v>505</v>
      </c>
      <c r="G76" s="27">
        <v>0</v>
      </c>
      <c r="H76" s="27"/>
    </row>
    <row r="77" spans="1:8" ht="15" customHeight="1" x14ac:dyDescent="0.2">
      <c r="A77" s="28"/>
      <c r="B77" s="28" t="s">
        <v>445</v>
      </c>
      <c r="C77" s="27">
        <f t="shared" si="1"/>
        <v>1635</v>
      </c>
      <c r="D77" s="27">
        <v>0</v>
      </c>
      <c r="E77" s="27">
        <f>375+350</f>
        <v>725</v>
      </c>
      <c r="F77" s="27">
        <f>160</f>
        <v>160</v>
      </c>
      <c r="G77" s="27">
        <f>475+275</f>
        <v>750</v>
      </c>
      <c r="H77" s="27"/>
    </row>
    <row r="78" spans="1:8" ht="15" customHeight="1" x14ac:dyDescent="0.2">
      <c r="A78" s="28"/>
      <c r="B78" s="28" t="s">
        <v>373</v>
      </c>
      <c r="C78" s="27">
        <f t="shared" si="1"/>
        <v>1605</v>
      </c>
      <c r="D78" s="27">
        <f>225</f>
        <v>225</v>
      </c>
      <c r="E78" s="27">
        <f>275+160</f>
        <v>435</v>
      </c>
      <c r="F78" s="27">
        <f>425+375+145</f>
        <v>945</v>
      </c>
      <c r="G78" s="27">
        <v>0</v>
      </c>
      <c r="H78" s="27"/>
    </row>
    <row r="79" spans="1:8" ht="15" customHeight="1" x14ac:dyDescent="0.2">
      <c r="A79" s="28"/>
      <c r="B79" s="28" t="s">
        <v>435</v>
      </c>
      <c r="C79" s="27">
        <f t="shared" si="1"/>
        <v>1595</v>
      </c>
      <c r="D79" s="27">
        <v>0</v>
      </c>
      <c r="E79" s="27">
        <f>160+200+160+225</f>
        <v>745</v>
      </c>
      <c r="F79" s="27">
        <f>350+175+325</f>
        <v>850</v>
      </c>
      <c r="G79" s="27">
        <v>0</v>
      </c>
      <c r="H79" s="27"/>
    </row>
    <row r="80" spans="1:8" ht="15" customHeight="1" x14ac:dyDescent="0.2">
      <c r="A80" s="28"/>
      <c r="B80" s="28" t="s">
        <v>377</v>
      </c>
      <c r="C80" s="27">
        <f t="shared" si="1"/>
        <v>1565</v>
      </c>
      <c r="D80" s="27">
        <f>575</f>
        <v>575</v>
      </c>
      <c r="E80" s="27">
        <v>0</v>
      </c>
      <c r="F80" s="27">
        <f>300+575+115</f>
        <v>990</v>
      </c>
      <c r="G80" s="27">
        <v>0</v>
      </c>
      <c r="H80" s="27"/>
    </row>
    <row r="81" spans="1:8" ht="15" customHeight="1" x14ac:dyDescent="0.2">
      <c r="A81" s="28"/>
      <c r="B81" s="28" t="s">
        <v>387</v>
      </c>
      <c r="C81" s="27">
        <f t="shared" si="1"/>
        <v>1525</v>
      </c>
      <c r="D81" s="27">
        <f>160</f>
        <v>160</v>
      </c>
      <c r="E81" s="27">
        <f>325+275+300</f>
        <v>900</v>
      </c>
      <c r="F81" s="27">
        <f>115+350</f>
        <v>465</v>
      </c>
      <c r="G81" s="27">
        <v>0</v>
      </c>
      <c r="H81" s="27"/>
    </row>
    <row r="82" spans="1:8" ht="15" customHeight="1" x14ac:dyDescent="0.2">
      <c r="A82" s="28"/>
      <c r="B82" s="28" t="s">
        <v>495</v>
      </c>
      <c r="C82" s="27">
        <f t="shared" si="1"/>
        <v>1475</v>
      </c>
      <c r="D82" s="27">
        <v>0</v>
      </c>
      <c r="E82" s="27">
        <v>0</v>
      </c>
      <c r="F82" s="27">
        <f>375+300+275+300</f>
        <v>1250</v>
      </c>
      <c r="G82" s="27">
        <f>225</f>
        <v>225</v>
      </c>
      <c r="H82" s="27"/>
    </row>
    <row r="83" spans="1:8" ht="15" customHeight="1" x14ac:dyDescent="0.2">
      <c r="A83" s="28"/>
      <c r="B83" s="28" t="s">
        <v>447</v>
      </c>
      <c r="C83" s="27">
        <f t="shared" si="1"/>
        <v>1470</v>
      </c>
      <c r="D83" s="27">
        <v>0</v>
      </c>
      <c r="E83" s="27">
        <f>145+300</f>
        <v>445</v>
      </c>
      <c r="F83" s="27">
        <f>225</f>
        <v>225</v>
      </c>
      <c r="G83" s="27">
        <f>575+225</f>
        <v>800</v>
      </c>
      <c r="H83" s="27"/>
    </row>
    <row r="84" spans="1:8" ht="15" customHeight="1" x14ac:dyDescent="0.2">
      <c r="A84" s="28"/>
      <c r="B84" s="28" t="s">
        <v>498</v>
      </c>
      <c r="C84" s="27">
        <f t="shared" si="1"/>
        <v>1445</v>
      </c>
      <c r="D84" s="27">
        <v>0</v>
      </c>
      <c r="E84" s="27">
        <v>0</v>
      </c>
      <c r="F84" s="27">
        <f>160+350+300+475</f>
        <v>1285</v>
      </c>
      <c r="G84" s="27">
        <f>160</f>
        <v>160</v>
      </c>
      <c r="H84" s="27"/>
    </row>
    <row r="85" spans="1:8" ht="15" customHeight="1" x14ac:dyDescent="0.2">
      <c r="A85" s="28"/>
      <c r="B85" s="28" t="s">
        <v>401</v>
      </c>
      <c r="C85" s="27">
        <f t="shared" si="1"/>
        <v>1425</v>
      </c>
      <c r="D85" s="27">
        <f>115</f>
        <v>115</v>
      </c>
      <c r="E85" s="27">
        <f>300</f>
        <v>300</v>
      </c>
      <c r="F85" s="27">
        <f>130+575+175</f>
        <v>880</v>
      </c>
      <c r="G85" s="27">
        <f>130</f>
        <v>130</v>
      </c>
      <c r="H85" s="27"/>
    </row>
    <row r="86" spans="1:8" ht="15" customHeight="1" x14ac:dyDescent="0.2">
      <c r="A86" s="28"/>
      <c r="B86" s="28" t="s">
        <v>426</v>
      </c>
      <c r="C86" s="27">
        <f t="shared" si="1"/>
        <v>1420</v>
      </c>
      <c r="D86" s="27">
        <v>0</v>
      </c>
      <c r="E86" s="27">
        <f>160+425+175</f>
        <v>760</v>
      </c>
      <c r="F86" s="27">
        <f>225+160</f>
        <v>385</v>
      </c>
      <c r="G86" s="27">
        <f>275</f>
        <v>275</v>
      </c>
      <c r="H86" s="27"/>
    </row>
    <row r="87" spans="1:8" ht="15" customHeight="1" x14ac:dyDescent="0.2">
      <c r="A87" s="28"/>
      <c r="B87" s="28" t="s">
        <v>449</v>
      </c>
      <c r="C87" s="27">
        <f t="shared" si="1"/>
        <v>1335</v>
      </c>
      <c r="D87" s="27">
        <v>0</v>
      </c>
      <c r="E87" s="27">
        <f>130+225+130</f>
        <v>485</v>
      </c>
      <c r="F87" s="27">
        <f>250+300</f>
        <v>550</v>
      </c>
      <c r="G87" s="27">
        <f>300</f>
        <v>300</v>
      </c>
      <c r="H87" s="27"/>
    </row>
    <row r="88" spans="1:8" ht="15" customHeight="1" x14ac:dyDescent="0.2">
      <c r="A88" s="28"/>
      <c r="B88" s="28" t="s">
        <v>448</v>
      </c>
      <c r="C88" s="27">
        <f t="shared" si="1"/>
        <v>1325</v>
      </c>
      <c r="D88" s="27">
        <f>175</f>
        <v>175</v>
      </c>
      <c r="E88" s="27">
        <f>115+250+300</f>
        <v>665</v>
      </c>
      <c r="F88" s="27">
        <f>325</f>
        <v>325</v>
      </c>
      <c r="G88" s="27">
        <f>160</f>
        <v>160</v>
      </c>
      <c r="H88" s="27"/>
    </row>
    <row r="89" spans="1:8" ht="15" customHeight="1" x14ac:dyDescent="0.2">
      <c r="A89" s="28"/>
      <c r="B89" s="28" t="s">
        <v>379</v>
      </c>
      <c r="C89" s="27">
        <f t="shared" si="1"/>
        <v>1320</v>
      </c>
      <c r="D89" s="27">
        <f>425</f>
        <v>425</v>
      </c>
      <c r="E89" s="27">
        <f>145+475</f>
        <v>620</v>
      </c>
      <c r="F89" s="27">
        <f>275</f>
        <v>275</v>
      </c>
      <c r="G89" s="27">
        <v>0</v>
      </c>
      <c r="H89" s="27"/>
    </row>
    <row r="90" spans="1:8" ht="15" customHeight="1" x14ac:dyDescent="0.2">
      <c r="A90" s="28"/>
      <c r="B90" s="28" t="s">
        <v>474</v>
      </c>
      <c r="C90" s="27">
        <f t="shared" si="1"/>
        <v>1300</v>
      </c>
      <c r="D90" s="27">
        <v>0</v>
      </c>
      <c r="E90" s="27">
        <f>225</f>
        <v>225</v>
      </c>
      <c r="F90" s="27">
        <f>175+575</f>
        <v>750</v>
      </c>
      <c r="G90" s="27">
        <f>325</f>
        <v>325</v>
      </c>
      <c r="H90" s="27"/>
    </row>
    <row r="91" spans="1:8" ht="15" customHeight="1" x14ac:dyDescent="0.2">
      <c r="A91" s="28"/>
      <c r="B91" s="28" t="s">
        <v>419</v>
      </c>
      <c r="C91" s="27">
        <f t="shared" si="1"/>
        <v>1265</v>
      </c>
      <c r="D91" s="27">
        <v>0</v>
      </c>
      <c r="E91" s="27">
        <f>425+130+160</f>
        <v>715</v>
      </c>
      <c r="F91" s="27">
        <f>375+175</f>
        <v>550</v>
      </c>
      <c r="G91" s="27">
        <v>0</v>
      </c>
      <c r="H91" s="27"/>
    </row>
    <row r="92" spans="1:8" ht="15" customHeight="1" x14ac:dyDescent="0.2">
      <c r="A92" s="28"/>
      <c r="B92" s="28" t="s">
        <v>500</v>
      </c>
      <c r="C92" s="27">
        <f t="shared" si="1"/>
        <v>1240</v>
      </c>
      <c r="D92" s="27">
        <v>0</v>
      </c>
      <c r="E92" s="27">
        <v>0</v>
      </c>
      <c r="F92" s="27">
        <f>320+300+145+475</f>
        <v>1240</v>
      </c>
      <c r="G92" s="27">
        <v>0</v>
      </c>
      <c r="H92" s="27"/>
    </row>
    <row r="93" spans="1:8" ht="15" customHeight="1" x14ac:dyDescent="0.2">
      <c r="A93" s="28"/>
      <c r="B93" s="28" t="s">
        <v>382</v>
      </c>
      <c r="C93" s="27">
        <f t="shared" si="1"/>
        <v>1215</v>
      </c>
      <c r="D93" s="27">
        <f>325</f>
        <v>325</v>
      </c>
      <c r="E93" s="27">
        <f>300+475</f>
        <v>775</v>
      </c>
      <c r="F93" s="27">
        <f>115</f>
        <v>115</v>
      </c>
      <c r="G93" s="27">
        <v>0</v>
      </c>
      <c r="H93" s="27"/>
    </row>
    <row r="94" spans="1:8" ht="15" customHeight="1" x14ac:dyDescent="0.2">
      <c r="A94" s="28"/>
      <c r="B94" s="28" t="s">
        <v>454</v>
      </c>
      <c r="C94" s="27">
        <f t="shared" si="1"/>
        <v>1205</v>
      </c>
      <c r="D94" s="27">
        <v>0</v>
      </c>
      <c r="E94" s="27">
        <f>145+275+300+225</f>
        <v>945</v>
      </c>
      <c r="F94" s="27">
        <f>145</f>
        <v>145</v>
      </c>
      <c r="G94" s="27">
        <f>115</f>
        <v>115</v>
      </c>
      <c r="H94" s="27"/>
    </row>
    <row r="95" spans="1:8" ht="15" customHeight="1" x14ac:dyDescent="0.2">
      <c r="A95" s="28"/>
      <c r="B95" s="28" t="s">
        <v>406</v>
      </c>
      <c r="C95" s="27">
        <f t="shared" si="1"/>
        <v>1175</v>
      </c>
      <c r="D95" s="27">
        <v>0</v>
      </c>
      <c r="E95" s="27">
        <f>325</f>
        <v>325</v>
      </c>
      <c r="F95" s="27">
        <f>575+275</f>
        <v>850</v>
      </c>
      <c r="G95" s="27">
        <v>0</v>
      </c>
      <c r="H95" s="27"/>
    </row>
    <row r="96" spans="1:8" ht="15" customHeight="1" x14ac:dyDescent="0.2">
      <c r="A96" s="28"/>
      <c r="B96" s="28" t="s">
        <v>293</v>
      </c>
      <c r="C96" s="27">
        <f t="shared" si="1"/>
        <v>1175</v>
      </c>
      <c r="D96" s="27">
        <f>175</f>
        <v>175</v>
      </c>
      <c r="E96" s="27">
        <v>0</v>
      </c>
      <c r="F96" s="27">
        <f>325+325+350</f>
        <v>1000</v>
      </c>
      <c r="G96" s="27">
        <v>0</v>
      </c>
      <c r="H96" s="27"/>
    </row>
    <row r="97" spans="1:8" ht="15" customHeight="1" x14ac:dyDescent="0.2">
      <c r="A97" s="28"/>
      <c r="B97" s="28" t="s">
        <v>542</v>
      </c>
      <c r="C97" s="27">
        <f t="shared" si="1"/>
        <v>1050</v>
      </c>
      <c r="D97" s="27">
        <v>0</v>
      </c>
      <c r="E97" s="27">
        <v>0</v>
      </c>
      <c r="F97" s="27">
        <f>575</f>
        <v>575</v>
      </c>
      <c r="G97" s="27">
        <f>475</f>
        <v>475</v>
      </c>
      <c r="H97" s="27"/>
    </row>
    <row r="98" spans="1:8" ht="15" customHeight="1" x14ac:dyDescent="0.2">
      <c r="A98" s="28"/>
      <c r="B98" s="28" t="s">
        <v>524</v>
      </c>
      <c r="C98" s="27">
        <f t="shared" si="1"/>
        <v>1050</v>
      </c>
      <c r="D98" s="27">
        <v>0</v>
      </c>
      <c r="E98" s="27">
        <v>0</v>
      </c>
      <c r="F98" s="27">
        <f>575+275+200</f>
        <v>1050</v>
      </c>
      <c r="G98" s="27">
        <v>0</v>
      </c>
      <c r="H98" s="27"/>
    </row>
    <row r="99" spans="1:8" ht="15" customHeight="1" x14ac:dyDescent="0.2">
      <c r="A99" s="28"/>
      <c r="B99" s="28" t="s">
        <v>417</v>
      </c>
      <c r="C99" s="27">
        <f t="shared" si="1"/>
        <v>1030</v>
      </c>
      <c r="D99" s="27">
        <v>0</v>
      </c>
      <c r="E99" s="27">
        <f>130+115+200</f>
        <v>445</v>
      </c>
      <c r="F99" s="27">
        <f>425+160</f>
        <v>585</v>
      </c>
      <c r="G99" s="27">
        <v>0</v>
      </c>
      <c r="H99" s="27"/>
    </row>
    <row r="100" spans="1:8" ht="15" customHeight="1" x14ac:dyDescent="0.2">
      <c r="A100" s="28"/>
      <c r="B100" s="28" t="s">
        <v>529</v>
      </c>
      <c r="C100" s="27">
        <f t="shared" si="1"/>
        <v>1010</v>
      </c>
      <c r="D100" s="27">
        <v>0</v>
      </c>
      <c r="E100" s="27">
        <v>0</v>
      </c>
      <c r="F100" s="27">
        <f>275+575+160</f>
        <v>1010</v>
      </c>
      <c r="G100" s="27">
        <v>0</v>
      </c>
      <c r="H100" s="27"/>
    </row>
    <row r="101" spans="1:8" ht="15" customHeight="1" x14ac:dyDescent="0.2">
      <c r="A101" s="28"/>
      <c r="B101" s="28" t="s">
        <v>381</v>
      </c>
      <c r="C101" s="27">
        <f t="shared" si="1"/>
        <v>970</v>
      </c>
      <c r="D101" s="27">
        <f>350</f>
        <v>350</v>
      </c>
      <c r="E101" s="27">
        <f>115</f>
        <v>115</v>
      </c>
      <c r="F101" s="27">
        <f>375</f>
        <v>375</v>
      </c>
      <c r="G101" s="27">
        <f>130</f>
        <v>130</v>
      </c>
      <c r="H101" s="27"/>
    </row>
    <row r="102" spans="1:8" ht="15" customHeight="1" x14ac:dyDescent="0.2">
      <c r="A102" s="28"/>
      <c r="B102" s="28" t="s">
        <v>493</v>
      </c>
      <c r="C102" s="27">
        <f t="shared" si="1"/>
        <v>945</v>
      </c>
      <c r="D102" s="27">
        <v>0</v>
      </c>
      <c r="E102" s="27">
        <v>0</v>
      </c>
      <c r="F102" s="27">
        <f>145+275+275+250</f>
        <v>945</v>
      </c>
      <c r="G102" s="27">
        <v>0</v>
      </c>
      <c r="H102" s="27"/>
    </row>
    <row r="103" spans="1:8" ht="15" customHeight="1" x14ac:dyDescent="0.2">
      <c r="A103" s="28"/>
      <c r="B103" s="28" t="s">
        <v>522</v>
      </c>
      <c r="C103" s="27">
        <f t="shared" si="1"/>
        <v>930</v>
      </c>
      <c r="D103" s="27">
        <v>0</v>
      </c>
      <c r="E103" s="27">
        <v>0</v>
      </c>
      <c r="F103" s="27">
        <f>225+130+575</f>
        <v>930</v>
      </c>
      <c r="G103" s="27">
        <v>0</v>
      </c>
      <c r="H103" s="27"/>
    </row>
    <row r="104" spans="1:8" ht="15" customHeight="1" x14ac:dyDescent="0.2">
      <c r="A104" s="28"/>
      <c r="B104" s="28" t="s">
        <v>461</v>
      </c>
      <c r="C104" s="27">
        <f t="shared" si="1"/>
        <v>925</v>
      </c>
      <c r="D104" s="27">
        <v>0</v>
      </c>
      <c r="E104" s="27">
        <f>575+350</f>
        <v>925</v>
      </c>
      <c r="F104" s="27">
        <v>0</v>
      </c>
      <c r="G104" s="27">
        <v>0</v>
      </c>
      <c r="H104" s="27"/>
    </row>
    <row r="105" spans="1:8" ht="15" customHeight="1" x14ac:dyDescent="0.2">
      <c r="A105" s="28"/>
      <c r="B105" s="28" t="s">
        <v>534</v>
      </c>
      <c r="C105" s="27">
        <f t="shared" si="1"/>
        <v>895</v>
      </c>
      <c r="D105" s="27">
        <v>0</v>
      </c>
      <c r="E105" s="27">
        <v>0</v>
      </c>
      <c r="F105" s="27">
        <f>475+175+115</f>
        <v>765</v>
      </c>
      <c r="G105" s="27">
        <f>130</f>
        <v>130</v>
      </c>
      <c r="H105" s="27"/>
    </row>
    <row r="106" spans="1:8" ht="15" customHeight="1" x14ac:dyDescent="0.2">
      <c r="A106" s="28"/>
      <c r="B106" s="28" t="s">
        <v>520</v>
      </c>
      <c r="C106" s="27">
        <f t="shared" si="1"/>
        <v>880</v>
      </c>
      <c r="D106" s="27">
        <v>0</v>
      </c>
      <c r="E106" s="27">
        <v>0</v>
      </c>
      <c r="F106" s="27">
        <f>575+175+130</f>
        <v>880</v>
      </c>
      <c r="G106" s="27">
        <v>0</v>
      </c>
      <c r="H106" s="27"/>
    </row>
    <row r="107" spans="1:8" ht="15" customHeight="1" x14ac:dyDescent="0.2">
      <c r="A107" s="28"/>
      <c r="B107" s="28" t="s">
        <v>471</v>
      </c>
      <c r="C107" s="27">
        <f t="shared" si="1"/>
        <v>875</v>
      </c>
      <c r="D107" s="27">
        <v>0</v>
      </c>
      <c r="E107" s="27">
        <f>175</f>
        <v>175</v>
      </c>
      <c r="F107" s="27">
        <f>275+425</f>
        <v>700</v>
      </c>
      <c r="G107" s="27">
        <v>0</v>
      </c>
      <c r="H107" s="27"/>
    </row>
    <row r="108" spans="1:8" ht="15" customHeight="1" x14ac:dyDescent="0.2">
      <c r="A108" s="28"/>
      <c r="B108" s="28" t="s">
        <v>415</v>
      </c>
      <c r="C108" s="27">
        <f t="shared" si="1"/>
        <v>845</v>
      </c>
      <c r="D108" s="27">
        <v>0</v>
      </c>
      <c r="E108" s="27">
        <f>250+175</f>
        <v>425</v>
      </c>
      <c r="F108" s="27">
        <f>145+275</f>
        <v>420</v>
      </c>
      <c r="G108" s="27">
        <v>0</v>
      </c>
      <c r="H108" s="27"/>
    </row>
    <row r="109" spans="1:8" ht="15" customHeight="1" x14ac:dyDescent="0.2">
      <c r="A109" s="28"/>
      <c r="B109" s="28" t="s">
        <v>195</v>
      </c>
      <c r="C109" s="27">
        <f t="shared" si="1"/>
        <v>810</v>
      </c>
      <c r="D109" s="27">
        <f>160+475</f>
        <v>635</v>
      </c>
      <c r="E109" s="27">
        <v>0</v>
      </c>
      <c r="F109" s="27">
        <v>0</v>
      </c>
      <c r="G109" s="27">
        <f>175</f>
        <v>175</v>
      </c>
      <c r="H109" s="27"/>
    </row>
    <row r="110" spans="1:8" ht="15" customHeight="1" x14ac:dyDescent="0.2">
      <c r="A110" s="28"/>
      <c r="B110" s="28" t="s">
        <v>364</v>
      </c>
      <c r="C110" s="27">
        <f t="shared" si="1"/>
        <v>810</v>
      </c>
      <c r="D110" s="27">
        <f>225+325</f>
        <v>550</v>
      </c>
      <c r="E110" s="27">
        <f>130+130</f>
        <v>260</v>
      </c>
      <c r="F110" s="27">
        <v>0</v>
      </c>
      <c r="G110" s="27">
        <v>0</v>
      </c>
      <c r="H110" s="27"/>
    </row>
    <row r="111" spans="1:8" ht="15" customHeight="1" x14ac:dyDescent="0.2">
      <c r="A111" s="28"/>
      <c r="B111" s="28" t="s">
        <v>438</v>
      </c>
      <c r="C111" s="27">
        <f t="shared" si="1"/>
        <v>785</v>
      </c>
      <c r="D111" s="27">
        <v>0</v>
      </c>
      <c r="E111" s="27">
        <f>325</f>
        <v>325</v>
      </c>
      <c r="F111" s="27">
        <f>300+160</f>
        <v>460</v>
      </c>
      <c r="G111" s="27">
        <v>0</v>
      </c>
      <c r="H111" s="27"/>
    </row>
    <row r="112" spans="1:8" ht="15" customHeight="1" x14ac:dyDescent="0.2">
      <c r="A112" s="28"/>
      <c r="B112" s="28" t="s">
        <v>462</v>
      </c>
      <c r="C112" s="27">
        <f t="shared" si="1"/>
        <v>785</v>
      </c>
      <c r="D112" s="27">
        <v>0</v>
      </c>
      <c r="E112" s="27">
        <f>225+175</f>
        <v>400</v>
      </c>
      <c r="F112" s="27">
        <f>160+225</f>
        <v>385</v>
      </c>
      <c r="G112" s="27">
        <v>0</v>
      </c>
      <c r="H112" s="27"/>
    </row>
    <row r="113" spans="1:8" ht="15" customHeight="1" x14ac:dyDescent="0.2">
      <c r="A113" s="28"/>
      <c r="B113" s="28" t="s">
        <v>508</v>
      </c>
      <c r="C113" s="27">
        <f t="shared" si="1"/>
        <v>750</v>
      </c>
      <c r="D113" s="27">
        <v>0</v>
      </c>
      <c r="E113" s="27">
        <v>0</v>
      </c>
      <c r="F113" s="27">
        <f>475+275</f>
        <v>750</v>
      </c>
      <c r="G113" s="27">
        <v>0</v>
      </c>
      <c r="H113" s="27"/>
    </row>
    <row r="114" spans="1:8" ht="15" customHeight="1" x14ac:dyDescent="0.2">
      <c r="A114" s="28"/>
      <c r="B114" s="28" t="s">
        <v>503</v>
      </c>
      <c r="C114" s="27">
        <f t="shared" si="1"/>
        <v>750</v>
      </c>
      <c r="D114" s="27">
        <v>0</v>
      </c>
      <c r="E114" s="27">
        <v>0</v>
      </c>
      <c r="F114" s="27">
        <f>145+475</f>
        <v>620</v>
      </c>
      <c r="G114" s="27">
        <f>130</f>
        <v>130</v>
      </c>
      <c r="H114" s="27"/>
    </row>
    <row r="115" spans="1:8" ht="15" customHeight="1" x14ac:dyDescent="0.2">
      <c r="A115" s="28"/>
      <c r="B115" s="28" t="s">
        <v>518</v>
      </c>
      <c r="C115" s="27">
        <f t="shared" si="1"/>
        <v>725</v>
      </c>
      <c r="D115" s="27">
        <v>0</v>
      </c>
      <c r="E115" s="27">
        <v>0</v>
      </c>
      <c r="F115" s="27">
        <f>175+225+325</f>
        <v>725</v>
      </c>
      <c r="G115" s="27">
        <v>0</v>
      </c>
      <c r="H115" s="27"/>
    </row>
    <row r="116" spans="1:8" ht="15" customHeight="1" x14ac:dyDescent="0.2">
      <c r="A116" s="28"/>
      <c r="B116" s="28" t="s">
        <v>452</v>
      </c>
      <c r="C116" s="27">
        <f t="shared" si="1"/>
        <v>675</v>
      </c>
      <c r="D116" s="27">
        <f>475</f>
        <v>475</v>
      </c>
      <c r="E116" s="27">
        <f>200</f>
        <v>200</v>
      </c>
      <c r="F116" s="27">
        <v>0</v>
      </c>
      <c r="G116" s="27">
        <v>0</v>
      </c>
      <c r="H116" s="27"/>
    </row>
    <row r="117" spans="1:8" ht="15" customHeight="1" x14ac:dyDescent="0.2">
      <c r="A117" s="28"/>
      <c r="B117" s="28" t="s">
        <v>472</v>
      </c>
      <c r="C117" s="27">
        <f t="shared" si="1"/>
        <v>675</v>
      </c>
      <c r="D117" s="27">
        <v>0</v>
      </c>
      <c r="E117" s="27">
        <f>375+300</f>
        <v>675</v>
      </c>
      <c r="F117" s="27">
        <v>0</v>
      </c>
      <c r="G117" s="27">
        <v>0</v>
      </c>
      <c r="H117" s="27"/>
    </row>
    <row r="118" spans="1:8" ht="15" customHeight="1" x14ac:dyDescent="0.2">
      <c r="A118" s="28"/>
      <c r="B118" s="28" t="s">
        <v>456</v>
      </c>
      <c r="C118" s="27">
        <f t="shared" si="1"/>
        <v>650</v>
      </c>
      <c r="D118" s="27">
        <v>0</v>
      </c>
      <c r="E118" s="27">
        <f>300</f>
        <v>300</v>
      </c>
      <c r="F118" s="27">
        <f>350</f>
        <v>350</v>
      </c>
      <c r="G118" s="27">
        <v>0</v>
      </c>
      <c r="H118" s="27"/>
    </row>
    <row r="119" spans="1:8" ht="15" customHeight="1" x14ac:dyDescent="0.2">
      <c r="A119" s="28"/>
      <c r="B119" s="28" t="s">
        <v>537</v>
      </c>
      <c r="C119" s="27">
        <f t="shared" si="1"/>
        <v>650</v>
      </c>
      <c r="D119" s="27">
        <v>0</v>
      </c>
      <c r="E119" s="27">
        <v>0</v>
      </c>
      <c r="F119" s="27">
        <f>275</f>
        <v>275</v>
      </c>
      <c r="G119" s="27">
        <f>375</f>
        <v>375</v>
      </c>
      <c r="H119" s="27"/>
    </row>
    <row r="120" spans="1:8" ht="15" customHeight="1" x14ac:dyDescent="0.2">
      <c r="A120" s="28"/>
      <c r="B120" s="28" t="s">
        <v>437</v>
      </c>
      <c r="C120" s="27">
        <f t="shared" si="1"/>
        <v>615</v>
      </c>
      <c r="D120" s="27">
        <v>0</v>
      </c>
      <c r="E120" s="27">
        <f>115</f>
        <v>115</v>
      </c>
      <c r="F120" s="27">
        <f>200+300</f>
        <v>500</v>
      </c>
      <c r="G120" s="27">
        <v>0</v>
      </c>
      <c r="H120" s="27"/>
    </row>
    <row r="121" spans="1:8" ht="15" customHeight="1" x14ac:dyDescent="0.2">
      <c r="A121" s="28"/>
      <c r="B121" s="28" t="s">
        <v>368</v>
      </c>
      <c r="C121" s="27">
        <f t="shared" si="1"/>
        <v>595</v>
      </c>
      <c r="D121" s="27">
        <f>115+160+175</f>
        <v>450</v>
      </c>
      <c r="E121" s="27">
        <f>145</f>
        <v>145</v>
      </c>
      <c r="F121" s="27">
        <v>0</v>
      </c>
      <c r="G121" s="27">
        <v>0</v>
      </c>
      <c r="H121" s="27"/>
    </row>
    <row r="122" spans="1:8" ht="15" customHeight="1" x14ac:dyDescent="0.2">
      <c r="A122" s="28"/>
      <c r="B122" s="28" t="s">
        <v>369</v>
      </c>
      <c r="C122" s="27">
        <f t="shared" si="1"/>
        <v>575</v>
      </c>
      <c r="D122" s="27">
        <f>575</f>
        <v>575</v>
      </c>
      <c r="E122" s="27">
        <v>0</v>
      </c>
      <c r="F122" s="27">
        <v>0</v>
      </c>
      <c r="G122" s="27">
        <v>0</v>
      </c>
      <c r="H122" s="27"/>
    </row>
    <row r="123" spans="1:8" ht="15" customHeight="1" x14ac:dyDescent="0.2">
      <c r="A123" s="28"/>
      <c r="B123" s="28" t="s">
        <v>553</v>
      </c>
      <c r="C123" s="27">
        <f t="shared" si="1"/>
        <v>575</v>
      </c>
      <c r="D123" s="27">
        <v>0</v>
      </c>
      <c r="E123" s="27">
        <v>0</v>
      </c>
      <c r="F123" s="27">
        <v>0</v>
      </c>
      <c r="G123" s="27">
        <f>575</f>
        <v>575</v>
      </c>
      <c r="H123" s="27"/>
    </row>
    <row r="124" spans="1:8" ht="15" customHeight="1" x14ac:dyDescent="0.2">
      <c r="A124" s="28"/>
      <c r="B124" s="28" t="s">
        <v>413</v>
      </c>
      <c r="C124" s="27">
        <f t="shared" si="1"/>
        <v>575</v>
      </c>
      <c r="D124" s="27">
        <v>0</v>
      </c>
      <c r="E124" s="27">
        <f>575</f>
        <v>575</v>
      </c>
      <c r="F124" s="27">
        <v>0</v>
      </c>
      <c r="G124" s="27">
        <v>0</v>
      </c>
      <c r="H124" s="27"/>
    </row>
    <row r="125" spans="1:8" ht="15" customHeight="1" x14ac:dyDescent="0.2">
      <c r="A125" s="28"/>
      <c r="B125" s="28" t="s">
        <v>430</v>
      </c>
      <c r="C125" s="27">
        <f t="shared" si="1"/>
        <v>575</v>
      </c>
      <c r="D125" s="27">
        <v>0</v>
      </c>
      <c r="E125" s="27">
        <f>575</f>
        <v>575</v>
      </c>
      <c r="F125" s="27">
        <v>0</v>
      </c>
      <c r="G125" s="27">
        <v>0</v>
      </c>
      <c r="H125" s="27"/>
    </row>
    <row r="126" spans="1:8" ht="15" customHeight="1" x14ac:dyDescent="0.2">
      <c r="A126" s="28"/>
      <c r="B126" s="28" t="s">
        <v>486</v>
      </c>
      <c r="C126" s="27">
        <f t="shared" si="1"/>
        <v>575</v>
      </c>
      <c r="D126" s="27">
        <v>0</v>
      </c>
      <c r="E126" s="27">
        <f>250</f>
        <v>250</v>
      </c>
      <c r="F126" s="27">
        <f>325</f>
        <v>325</v>
      </c>
      <c r="G126" s="27">
        <v>0</v>
      </c>
      <c r="H126" s="27"/>
    </row>
    <row r="127" spans="1:8" ht="15" customHeight="1" x14ac:dyDescent="0.2">
      <c r="A127" s="28"/>
      <c r="B127" s="28" t="s">
        <v>488</v>
      </c>
      <c r="C127" s="27">
        <f t="shared" si="1"/>
        <v>575</v>
      </c>
      <c r="D127" s="27">
        <v>0</v>
      </c>
      <c r="E127" s="27">
        <f>575</f>
        <v>575</v>
      </c>
      <c r="F127" s="27">
        <v>0</v>
      </c>
      <c r="G127" s="27">
        <v>0</v>
      </c>
      <c r="H127" s="27"/>
    </row>
    <row r="128" spans="1:8" ht="15" customHeight="1" x14ac:dyDescent="0.2">
      <c r="A128" s="28"/>
      <c r="B128" s="28" t="s">
        <v>11</v>
      </c>
      <c r="C128" s="27">
        <f t="shared" si="1"/>
        <v>570</v>
      </c>
      <c r="D128" s="27">
        <v>0</v>
      </c>
      <c r="E128" s="27">
        <f>145</f>
        <v>145</v>
      </c>
      <c r="F128" s="27">
        <v>0</v>
      </c>
      <c r="G128" s="27">
        <f>425</f>
        <v>425</v>
      </c>
      <c r="H128" s="27"/>
    </row>
    <row r="129" spans="1:8" ht="15" customHeight="1" x14ac:dyDescent="0.2">
      <c r="A129" s="28"/>
      <c r="B129" s="28" t="s">
        <v>390</v>
      </c>
      <c r="C129" s="27">
        <f t="shared" si="1"/>
        <v>565</v>
      </c>
      <c r="D129" s="27">
        <f>115</f>
        <v>115</v>
      </c>
      <c r="E129" s="27">
        <f>200+250</f>
        <v>450</v>
      </c>
      <c r="F129" s="27">
        <v>0</v>
      </c>
      <c r="G129" s="27">
        <v>0</v>
      </c>
      <c r="H129" s="27"/>
    </row>
    <row r="130" spans="1:8" ht="15" customHeight="1" x14ac:dyDescent="0.2">
      <c r="A130" s="28"/>
      <c r="B130" s="28" t="s">
        <v>403</v>
      </c>
      <c r="C130" s="27">
        <f t="shared" si="1"/>
        <v>550</v>
      </c>
      <c r="D130" s="27">
        <v>0</v>
      </c>
      <c r="E130" s="27">
        <f>275+275</f>
        <v>550</v>
      </c>
      <c r="F130" s="27">
        <v>0</v>
      </c>
      <c r="G130" s="27">
        <v>0</v>
      </c>
      <c r="H130" s="27"/>
    </row>
    <row r="131" spans="1:8" ht="15" customHeight="1" x14ac:dyDescent="0.2">
      <c r="A131" s="28"/>
      <c r="B131" s="28" t="s">
        <v>505</v>
      </c>
      <c r="C131" s="27">
        <f t="shared" si="1"/>
        <v>550</v>
      </c>
      <c r="D131" s="27">
        <v>0</v>
      </c>
      <c r="E131" s="27">
        <v>0</v>
      </c>
      <c r="F131" s="27">
        <f>250+300</f>
        <v>550</v>
      </c>
      <c r="G131" s="27">
        <v>0</v>
      </c>
      <c r="H131" s="27"/>
    </row>
    <row r="132" spans="1:8" ht="15" customHeight="1" x14ac:dyDescent="0.2">
      <c r="A132" s="28"/>
      <c r="B132" s="28" t="s">
        <v>376</v>
      </c>
      <c r="C132" s="27">
        <f t="shared" si="1"/>
        <v>530</v>
      </c>
      <c r="D132" s="27">
        <f>115</f>
        <v>115</v>
      </c>
      <c r="E132" s="27">
        <f>115+300</f>
        <v>415</v>
      </c>
      <c r="F132" s="27">
        <v>0</v>
      </c>
      <c r="G132" s="27">
        <v>0</v>
      </c>
      <c r="H132" s="27"/>
    </row>
    <row r="133" spans="1:8" ht="15" customHeight="1" x14ac:dyDescent="0.2">
      <c r="A133" s="28"/>
      <c r="B133" s="28" t="s">
        <v>404</v>
      </c>
      <c r="C133" s="27">
        <f t="shared" si="1"/>
        <v>525</v>
      </c>
      <c r="D133" s="27">
        <v>0</v>
      </c>
      <c r="E133" s="27">
        <f>225+300</f>
        <v>525</v>
      </c>
      <c r="F133" s="27">
        <v>0</v>
      </c>
      <c r="G133" s="27">
        <v>0</v>
      </c>
      <c r="H133" s="27"/>
    </row>
    <row r="134" spans="1:8" ht="15" customHeight="1" x14ac:dyDescent="0.2">
      <c r="A134" s="28"/>
      <c r="B134" s="28" t="s">
        <v>546</v>
      </c>
      <c r="C134" s="27">
        <f t="shared" si="1"/>
        <v>525</v>
      </c>
      <c r="D134" s="27">
        <v>0</v>
      </c>
      <c r="E134" s="27">
        <v>0</v>
      </c>
      <c r="F134" s="27">
        <f>200</f>
        <v>200</v>
      </c>
      <c r="G134" s="27">
        <f>325</f>
        <v>325</v>
      </c>
      <c r="H134" s="27"/>
    </row>
    <row r="135" spans="1:8" ht="15" customHeight="1" x14ac:dyDescent="0.2">
      <c r="A135" s="28"/>
      <c r="B135" s="28" t="s">
        <v>246</v>
      </c>
      <c r="C135" s="27">
        <f t="shared" si="1"/>
        <v>510</v>
      </c>
      <c r="D135" s="27">
        <v>0</v>
      </c>
      <c r="E135" s="27">
        <f>350+160</f>
        <v>510</v>
      </c>
      <c r="F135" s="27">
        <v>0</v>
      </c>
      <c r="G135" s="27">
        <v>0</v>
      </c>
      <c r="H135" s="27"/>
    </row>
    <row r="136" spans="1:8" ht="15" customHeight="1" x14ac:dyDescent="0.2">
      <c r="A136" s="28"/>
      <c r="B136" s="28" t="s">
        <v>343</v>
      </c>
      <c r="C136" s="27">
        <f t="shared" si="1"/>
        <v>500</v>
      </c>
      <c r="D136" s="27">
        <f>300</f>
        <v>300</v>
      </c>
      <c r="E136" s="27">
        <f>200</f>
        <v>200</v>
      </c>
      <c r="F136" s="27">
        <v>0</v>
      </c>
      <c r="G136" s="27">
        <v>0</v>
      </c>
      <c r="H136" s="27"/>
    </row>
    <row r="137" spans="1:8" ht="15" customHeight="1" x14ac:dyDescent="0.2">
      <c r="A137" s="28"/>
      <c r="B137" s="28" t="s">
        <v>473</v>
      </c>
      <c r="C137" s="27">
        <f t="shared" si="1"/>
        <v>495</v>
      </c>
      <c r="D137" s="27">
        <v>0</v>
      </c>
      <c r="E137" s="27">
        <f>350</f>
        <v>350</v>
      </c>
      <c r="F137" s="27">
        <f>145</f>
        <v>145</v>
      </c>
      <c r="G137" s="27">
        <v>0</v>
      </c>
      <c r="H137" s="27"/>
    </row>
    <row r="138" spans="1:8" ht="15" customHeight="1" x14ac:dyDescent="0.2">
      <c r="A138" s="28"/>
      <c r="B138" s="28" t="s">
        <v>489</v>
      </c>
      <c r="C138" s="27">
        <f t="shared" ref="C138:C201" si="2">SUM(D138:H138)</f>
        <v>475</v>
      </c>
      <c r="D138" s="27">
        <v>0</v>
      </c>
      <c r="E138" s="27">
        <f>475</f>
        <v>475</v>
      </c>
      <c r="F138" s="27">
        <v>0</v>
      </c>
      <c r="G138" s="27">
        <v>0</v>
      </c>
      <c r="H138" s="27"/>
    </row>
    <row r="139" spans="1:8" ht="15" customHeight="1" x14ac:dyDescent="0.2">
      <c r="A139" s="28"/>
      <c r="B139" s="28" t="s">
        <v>525</v>
      </c>
      <c r="C139" s="27">
        <f t="shared" si="2"/>
        <v>475</v>
      </c>
      <c r="D139" s="27">
        <v>0</v>
      </c>
      <c r="E139" s="27">
        <v>0</v>
      </c>
      <c r="F139" s="27">
        <f>475</f>
        <v>475</v>
      </c>
      <c r="G139" s="27">
        <v>0</v>
      </c>
      <c r="H139" s="27"/>
    </row>
    <row r="140" spans="1:8" ht="15" customHeight="1" x14ac:dyDescent="0.2">
      <c r="A140" s="28"/>
      <c r="B140" s="28" t="s">
        <v>554</v>
      </c>
      <c r="C140" s="27">
        <f t="shared" si="2"/>
        <v>475</v>
      </c>
      <c r="D140" s="27">
        <v>0</v>
      </c>
      <c r="E140" s="27">
        <v>0</v>
      </c>
      <c r="F140" s="27">
        <v>0</v>
      </c>
      <c r="G140" s="27">
        <f>475</f>
        <v>475</v>
      </c>
      <c r="H140" s="27"/>
    </row>
    <row r="141" spans="1:8" ht="15" customHeight="1" x14ac:dyDescent="0.2">
      <c r="A141" s="28"/>
      <c r="B141" s="28" t="s">
        <v>540</v>
      </c>
      <c r="C141" s="27">
        <f t="shared" si="2"/>
        <v>475</v>
      </c>
      <c r="D141" s="27">
        <v>0</v>
      </c>
      <c r="E141" s="27">
        <v>0</v>
      </c>
      <c r="F141" s="27">
        <f>475</f>
        <v>475</v>
      </c>
      <c r="G141" s="27">
        <v>0</v>
      </c>
      <c r="H141" s="27"/>
    </row>
    <row r="142" spans="1:8" ht="15" customHeight="1" x14ac:dyDescent="0.2">
      <c r="A142" s="28"/>
      <c r="B142" s="28" t="s">
        <v>526</v>
      </c>
      <c r="C142" s="27">
        <f t="shared" si="2"/>
        <v>475</v>
      </c>
      <c r="D142" s="27">
        <v>0</v>
      </c>
      <c r="E142" s="27">
        <v>0</v>
      </c>
      <c r="F142" s="27">
        <f>300+175</f>
        <v>475</v>
      </c>
      <c r="G142" s="27">
        <v>0</v>
      </c>
      <c r="H142" s="27"/>
    </row>
    <row r="143" spans="1:8" ht="15" customHeight="1" x14ac:dyDescent="0.2">
      <c r="A143" s="28"/>
      <c r="B143" s="28" t="s">
        <v>502</v>
      </c>
      <c r="C143" s="27">
        <f t="shared" si="2"/>
        <v>450</v>
      </c>
      <c r="D143" s="27">
        <v>0</v>
      </c>
      <c r="E143" s="27">
        <v>0</v>
      </c>
      <c r="F143" s="27">
        <f>175+275</f>
        <v>450</v>
      </c>
      <c r="G143" s="27">
        <v>0</v>
      </c>
      <c r="H143" s="27"/>
    </row>
    <row r="144" spans="1:8" ht="15" customHeight="1" x14ac:dyDescent="0.2">
      <c r="A144" s="28"/>
      <c r="B144" s="28" t="s">
        <v>523</v>
      </c>
      <c r="C144" s="27">
        <f t="shared" si="2"/>
        <v>430</v>
      </c>
      <c r="D144" s="27">
        <v>0</v>
      </c>
      <c r="E144" s="27">
        <v>0</v>
      </c>
      <c r="F144" s="27">
        <f>200+115</f>
        <v>315</v>
      </c>
      <c r="G144" s="27">
        <f>115</f>
        <v>115</v>
      </c>
      <c r="H144" s="27"/>
    </row>
    <row r="145" spans="1:8" ht="15" customHeight="1" x14ac:dyDescent="0.2">
      <c r="A145" s="28"/>
      <c r="B145" s="28" t="s">
        <v>446</v>
      </c>
      <c r="C145" s="27">
        <f t="shared" si="2"/>
        <v>430</v>
      </c>
      <c r="D145" s="27">
        <v>0</v>
      </c>
      <c r="E145" s="27">
        <f>300+130</f>
        <v>430</v>
      </c>
      <c r="F145" s="27">
        <v>0</v>
      </c>
      <c r="G145" s="27">
        <v>0</v>
      </c>
      <c r="H145" s="27"/>
    </row>
    <row r="146" spans="1:8" ht="15" customHeight="1" x14ac:dyDescent="0.2">
      <c r="A146" s="28"/>
      <c r="B146" s="28" t="s">
        <v>548</v>
      </c>
      <c r="C146" s="27">
        <f t="shared" si="2"/>
        <v>425</v>
      </c>
      <c r="D146" s="27">
        <v>0</v>
      </c>
      <c r="E146" s="27">
        <v>0</v>
      </c>
      <c r="F146" s="27">
        <f>425</f>
        <v>425</v>
      </c>
      <c r="G146" s="27">
        <v>0</v>
      </c>
      <c r="H146" s="27"/>
    </row>
    <row r="147" spans="1:8" ht="15" customHeight="1" x14ac:dyDescent="0.2">
      <c r="A147" s="28"/>
      <c r="B147" s="28" t="s">
        <v>431</v>
      </c>
      <c r="C147" s="27">
        <f t="shared" si="2"/>
        <v>425</v>
      </c>
      <c r="D147" s="27">
        <v>0</v>
      </c>
      <c r="E147" s="27">
        <f>425</f>
        <v>425</v>
      </c>
      <c r="F147" s="27">
        <v>0</v>
      </c>
      <c r="G147" s="27">
        <v>0</v>
      </c>
      <c r="H147" s="27"/>
    </row>
    <row r="148" spans="1:8" ht="15" customHeight="1" x14ac:dyDescent="0.2">
      <c r="A148" s="28"/>
      <c r="B148" s="28" t="s">
        <v>491</v>
      </c>
      <c r="C148" s="27">
        <f t="shared" si="2"/>
        <v>425</v>
      </c>
      <c r="D148" s="27">
        <v>0</v>
      </c>
      <c r="E148" s="27">
        <v>0</v>
      </c>
      <c r="F148" s="27">
        <f>425</f>
        <v>425</v>
      </c>
      <c r="G148" s="27">
        <v>0</v>
      </c>
      <c r="H148" s="27"/>
    </row>
    <row r="149" spans="1:8" ht="15" customHeight="1" x14ac:dyDescent="0.2">
      <c r="A149" s="28"/>
      <c r="B149" s="28" t="s">
        <v>189</v>
      </c>
      <c r="C149" s="27">
        <f t="shared" si="2"/>
        <v>425</v>
      </c>
      <c r="D149" s="27">
        <v>0</v>
      </c>
      <c r="E149" s="27">
        <f>425</f>
        <v>425</v>
      </c>
      <c r="F149" s="27">
        <v>0</v>
      </c>
      <c r="G149" s="27">
        <v>0</v>
      </c>
      <c r="H149" s="27"/>
    </row>
    <row r="150" spans="1:8" ht="15" customHeight="1" x14ac:dyDescent="0.2">
      <c r="A150" s="28"/>
      <c r="B150" s="28" t="s">
        <v>418</v>
      </c>
      <c r="C150" s="27">
        <f t="shared" si="2"/>
        <v>405</v>
      </c>
      <c r="D150" s="27">
        <v>0</v>
      </c>
      <c r="E150" s="27">
        <f>115+130</f>
        <v>245</v>
      </c>
      <c r="F150" s="27">
        <f>160</f>
        <v>160</v>
      </c>
      <c r="G150" s="27">
        <v>0</v>
      </c>
      <c r="H150" s="27"/>
    </row>
    <row r="151" spans="1:8" ht="15" customHeight="1" x14ac:dyDescent="0.2">
      <c r="A151" s="28"/>
      <c r="B151" s="28" t="s">
        <v>549</v>
      </c>
      <c r="C151" s="27">
        <f t="shared" si="2"/>
        <v>400</v>
      </c>
      <c r="D151" s="27">
        <v>0</v>
      </c>
      <c r="E151" s="27">
        <v>0</v>
      </c>
      <c r="F151" s="27">
        <f>175+225</f>
        <v>400</v>
      </c>
      <c r="G151" s="27">
        <v>0</v>
      </c>
      <c r="H151" s="27"/>
    </row>
    <row r="152" spans="1:8" ht="15" customHeight="1" x14ac:dyDescent="0.2">
      <c r="A152" s="28"/>
      <c r="B152" s="28" t="s">
        <v>384</v>
      </c>
      <c r="C152" s="27">
        <f t="shared" si="2"/>
        <v>400</v>
      </c>
      <c r="D152" s="27">
        <f>225</f>
        <v>225</v>
      </c>
      <c r="E152" s="27">
        <f>175</f>
        <v>175</v>
      </c>
      <c r="F152" s="27">
        <v>0</v>
      </c>
      <c r="G152" s="27">
        <v>0</v>
      </c>
      <c r="H152" s="27"/>
    </row>
    <row r="153" spans="1:8" ht="15" customHeight="1" x14ac:dyDescent="0.2">
      <c r="A153" s="28"/>
      <c r="B153" s="28" t="s">
        <v>432</v>
      </c>
      <c r="C153" s="27">
        <f t="shared" si="2"/>
        <v>375</v>
      </c>
      <c r="D153" s="27">
        <v>0</v>
      </c>
      <c r="E153" s="27">
        <f>375</f>
        <v>375</v>
      </c>
      <c r="F153" s="27">
        <v>0</v>
      </c>
      <c r="G153" s="27">
        <v>0</v>
      </c>
      <c r="H153" s="27"/>
    </row>
    <row r="154" spans="1:8" ht="15" customHeight="1" x14ac:dyDescent="0.2">
      <c r="A154" s="28"/>
      <c r="B154" s="28" t="s">
        <v>544</v>
      </c>
      <c r="C154" s="27">
        <f t="shared" si="2"/>
        <v>375</v>
      </c>
      <c r="D154" s="27">
        <v>0</v>
      </c>
      <c r="E154" s="27">
        <v>0</v>
      </c>
      <c r="F154" s="27">
        <f>375</f>
        <v>375</v>
      </c>
      <c r="G154" s="27">
        <v>0</v>
      </c>
      <c r="H154" s="27"/>
    </row>
    <row r="155" spans="1:8" ht="15" customHeight="1" x14ac:dyDescent="0.2">
      <c r="A155" s="28"/>
      <c r="B155" s="28" t="s">
        <v>414</v>
      </c>
      <c r="C155" s="27">
        <f t="shared" si="2"/>
        <v>375</v>
      </c>
      <c r="D155" s="27">
        <v>0</v>
      </c>
      <c r="E155" s="27">
        <f>375</f>
        <v>375</v>
      </c>
      <c r="F155" s="27">
        <v>0</v>
      </c>
      <c r="G155" s="27">
        <v>0</v>
      </c>
      <c r="H155" s="27"/>
    </row>
    <row r="156" spans="1:8" ht="15" customHeight="1" x14ac:dyDescent="0.2">
      <c r="A156" s="28"/>
      <c r="B156" s="28" t="s">
        <v>216</v>
      </c>
      <c r="C156" s="27">
        <f t="shared" si="2"/>
        <v>370</v>
      </c>
      <c r="D156" s="27">
        <f>145</f>
        <v>145</v>
      </c>
      <c r="E156" s="27">
        <f>225</f>
        <v>225</v>
      </c>
      <c r="F156" s="27">
        <v>0</v>
      </c>
      <c r="G156" s="27">
        <v>0</v>
      </c>
      <c r="H156" s="27"/>
    </row>
    <row r="157" spans="1:8" ht="15" customHeight="1" x14ac:dyDescent="0.2">
      <c r="A157" s="28"/>
      <c r="B157" s="28" t="s">
        <v>442</v>
      </c>
      <c r="C157" s="27">
        <f t="shared" si="2"/>
        <v>360</v>
      </c>
      <c r="D157" s="27">
        <v>0</v>
      </c>
      <c r="E157" s="27">
        <f>160+200</f>
        <v>360</v>
      </c>
      <c r="F157" s="27">
        <v>0</v>
      </c>
      <c r="G157" s="27">
        <v>0</v>
      </c>
      <c r="H157" s="27"/>
    </row>
    <row r="158" spans="1:8" ht="15" customHeight="1" x14ac:dyDescent="0.2">
      <c r="A158" s="28"/>
      <c r="B158" s="28" t="s">
        <v>440</v>
      </c>
      <c r="C158" s="27">
        <f t="shared" si="2"/>
        <v>355</v>
      </c>
      <c r="D158" s="27">
        <v>0</v>
      </c>
      <c r="E158" s="27">
        <f>225+130</f>
        <v>355</v>
      </c>
      <c r="F158" s="27">
        <v>0</v>
      </c>
      <c r="G158" s="27">
        <v>0</v>
      </c>
      <c r="H158" s="27"/>
    </row>
    <row r="159" spans="1:8" ht="15" customHeight="1" x14ac:dyDescent="0.2">
      <c r="A159" s="28"/>
      <c r="B159" s="28" t="s">
        <v>506</v>
      </c>
      <c r="C159" s="27">
        <f t="shared" si="2"/>
        <v>350</v>
      </c>
      <c r="D159" s="27">
        <v>0</v>
      </c>
      <c r="E159" s="27">
        <v>0</v>
      </c>
      <c r="F159" s="27">
        <f>350</f>
        <v>350</v>
      </c>
      <c r="G159" s="27">
        <v>0</v>
      </c>
      <c r="H159" s="27"/>
    </row>
    <row r="160" spans="1:8" ht="15" customHeight="1" x14ac:dyDescent="0.2">
      <c r="A160" s="28"/>
      <c r="B160" s="28" t="s">
        <v>433</v>
      </c>
      <c r="C160" s="27">
        <f t="shared" si="2"/>
        <v>350</v>
      </c>
      <c r="D160" s="27">
        <v>0</v>
      </c>
      <c r="E160" s="27">
        <f>350</f>
        <v>350</v>
      </c>
      <c r="F160" s="27">
        <v>0</v>
      </c>
      <c r="G160" s="27">
        <v>0</v>
      </c>
      <c r="H160" s="27"/>
    </row>
    <row r="161" spans="1:8" ht="15" customHeight="1" x14ac:dyDescent="0.2">
      <c r="A161" s="28"/>
      <c r="B161" s="28" t="s">
        <v>402</v>
      </c>
      <c r="C161" s="27">
        <f t="shared" si="2"/>
        <v>350</v>
      </c>
      <c r="D161" s="27">
        <v>0</v>
      </c>
      <c r="E161" s="27">
        <f>350</f>
        <v>350</v>
      </c>
      <c r="F161" s="27">
        <v>0</v>
      </c>
      <c r="G161" s="27">
        <v>0</v>
      </c>
      <c r="H161" s="27"/>
    </row>
    <row r="162" spans="1:8" ht="15" customHeight="1" x14ac:dyDescent="0.2">
      <c r="A162" s="28"/>
      <c r="B162" s="28" t="s">
        <v>481</v>
      </c>
      <c r="C162" s="27">
        <f t="shared" si="2"/>
        <v>350</v>
      </c>
      <c r="D162" s="27">
        <v>0</v>
      </c>
      <c r="E162" s="27">
        <f>350</f>
        <v>350</v>
      </c>
      <c r="F162" s="27">
        <v>0</v>
      </c>
      <c r="G162" s="27">
        <v>0</v>
      </c>
      <c r="H162" s="27"/>
    </row>
    <row r="163" spans="1:8" ht="15" customHeight="1" x14ac:dyDescent="0.2">
      <c r="A163" s="28"/>
      <c r="B163" s="28" t="s">
        <v>509</v>
      </c>
      <c r="C163" s="27">
        <f t="shared" si="2"/>
        <v>350</v>
      </c>
      <c r="D163" s="27">
        <v>0</v>
      </c>
      <c r="E163" s="27">
        <v>0</v>
      </c>
      <c r="F163" s="27">
        <f>350</f>
        <v>350</v>
      </c>
      <c r="G163" s="27">
        <v>0</v>
      </c>
      <c r="H163" s="27"/>
    </row>
    <row r="164" spans="1:8" ht="15" customHeight="1" x14ac:dyDescent="0.2">
      <c r="A164" s="28"/>
      <c r="B164" s="28" t="s">
        <v>441</v>
      </c>
      <c r="C164" s="27">
        <f t="shared" si="2"/>
        <v>345</v>
      </c>
      <c r="D164" s="27">
        <v>0</v>
      </c>
      <c r="E164" s="27">
        <f>200</f>
        <v>200</v>
      </c>
      <c r="F164" s="27">
        <v>0</v>
      </c>
      <c r="G164" s="27">
        <f>145</f>
        <v>145</v>
      </c>
      <c r="H164" s="27"/>
    </row>
    <row r="165" spans="1:8" ht="15" customHeight="1" x14ac:dyDescent="0.2">
      <c r="A165" s="28"/>
      <c r="B165" s="28" t="s">
        <v>512</v>
      </c>
      <c r="C165" s="27">
        <f t="shared" si="2"/>
        <v>335</v>
      </c>
      <c r="D165" s="27">
        <v>0</v>
      </c>
      <c r="E165" s="27">
        <v>0</v>
      </c>
      <c r="F165" s="27">
        <f>160+175</f>
        <v>335</v>
      </c>
      <c r="G165" s="27">
        <v>0</v>
      </c>
      <c r="H165" s="27"/>
    </row>
    <row r="166" spans="1:8" ht="15" customHeight="1" x14ac:dyDescent="0.2">
      <c r="A166" s="28"/>
      <c r="B166" s="28" t="s">
        <v>420</v>
      </c>
      <c r="C166" s="27">
        <f t="shared" si="2"/>
        <v>325</v>
      </c>
      <c r="D166" s="27">
        <v>0</v>
      </c>
      <c r="E166" s="27">
        <f>325</f>
        <v>325</v>
      </c>
      <c r="F166" s="27">
        <v>0</v>
      </c>
      <c r="G166" s="27">
        <v>0</v>
      </c>
      <c r="H166" s="27"/>
    </row>
    <row r="167" spans="1:8" ht="15" customHeight="1" x14ac:dyDescent="0.2">
      <c r="A167" s="28"/>
      <c r="B167" s="28" t="s">
        <v>423</v>
      </c>
      <c r="C167" s="27">
        <f t="shared" si="2"/>
        <v>325</v>
      </c>
      <c r="D167" s="27">
        <v>0</v>
      </c>
      <c r="E167" s="27">
        <f>325</f>
        <v>325</v>
      </c>
      <c r="F167" s="27">
        <v>0</v>
      </c>
      <c r="G167" s="27">
        <v>0</v>
      </c>
      <c r="H167" s="27"/>
    </row>
    <row r="168" spans="1:8" ht="15" customHeight="1" x14ac:dyDescent="0.2">
      <c r="A168" s="28"/>
      <c r="B168" s="28" t="s">
        <v>541</v>
      </c>
      <c r="C168" s="27">
        <f t="shared" si="2"/>
        <v>325</v>
      </c>
      <c r="D168" s="27">
        <v>0</v>
      </c>
      <c r="E168" s="27">
        <v>0</v>
      </c>
      <c r="F168" s="27">
        <f>325</f>
        <v>325</v>
      </c>
      <c r="G168" s="27">
        <v>0</v>
      </c>
      <c r="H168" s="27"/>
    </row>
    <row r="169" spans="1:8" ht="15" customHeight="1" x14ac:dyDescent="0.2">
      <c r="A169" s="28"/>
      <c r="B169" s="28" t="s">
        <v>470</v>
      </c>
      <c r="C169" s="27">
        <f t="shared" si="2"/>
        <v>325</v>
      </c>
      <c r="D169" s="27">
        <v>0</v>
      </c>
      <c r="E169" s="27">
        <f>325</f>
        <v>325</v>
      </c>
      <c r="F169" s="27">
        <v>0</v>
      </c>
      <c r="G169" s="27">
        <v>0</v>
      </c>
      <c r="H169" s="27"/>
    </row>
    <row r="170" spans="1:8" ht="15" customHeight="1" x14ac:dyDescent="0.2">
      <c r="A170" s="32"/>
      <c r="B170" s="32" t="s">
        <v>559</v>
      </c>
      <c r="C170" s="33">
        <f t="shared" si="2"/>
        <v>325</v>
      </c>
      <c r="D170" s="27">
        <v>0</v>
      </c>
      <c r="E170" s="27">
        <v>0</v>
      </c>
      <c r="F170" s="27">
        <v>0</v>
      </c>
      <c r="G170" s="27">
        <f>325</f>
        <v>325</v>
      </c>
      <c r="H170" s="27"/>
    </row>
    <row r="171" spans="1:8" ht="15" customHeight="1" x14ac:dyDescent="0.2">
      <c r="A171" s="28"/>
      <c r="B171" s="28" t="s">
        <v>453</v>
      </c>
      <c r="C171" s="27">
        <f t="shared" si="2"/>
        <v>325</v>
      </c>
      <c r="D171" s="27">
        <v>0</v>
      </c>
      <c r="E171" s="27">
        <f>325</f>
        <v>325</v>
      </c>
      <c r="F171" s="27">
        <v>0</v>
      </c>
      <c r="G171" s="27">
        <v>0</v>
      </c>
      <c r="H171" s="27"/>
    </row>
    <row r="172" spans="1:8" ht="15" customHeight="1" x14ac:dyDescent="0.2">
      <c r="A172" s="28"/>
      <c r="B172" s="28" t="s">
        <v>485</v>
      </c>
      <c r="C172" s="27">
        <f t="shared" si="2"/>
        <v>325</v>
      </c>
      <c r="D172" s="27">
        <v>0</v>
      </c>
      <c r="E172" s="27">
        <f>325</f>
        <v>325</v>
      </c>
      <c r="F172" s="27">
        <v>0</v>
      </c>
      <c r="G172" s="27">
        <v>0</v>
      </c>
      <c r="H172" s="27"/>
    </row>
    <row r="173" spans="1:8" ht="15" customHeight="1" x14ac:dyDescent="0.2">
      <c r="A173" s="28"/>
      <c r="B173" s="28" t="s">
        <v>521</v>
      </c>
      <c r="C173" s="27">
        <f t="shared" si="2"/>
        <v>325</v>
      </c>
      <c r="D173" s="27">
        <v>0</v>
      </c>
      <c r="E173" s="27">
        <v>0</v>
      </c>
      <c r="F173" s="27">
        <f>325</f>
        <v>325</v>
      </c>
      <c r="G173" s="27">
        <v>0</v>
      </c>
      <c r="H173" s="27"/>
    </row>
    <row r="174" spans="1:8" ht="15" customHeight="1" x14ac:dyDescent="0.2">
      <c r="A174" s="28"/>
      <c r="B174" s="28" t="s">
        <v>532</v>
      </c>
      <c r="C174" s="27">
        <f t="shared" si="2"/>
        <v>320</v>
      </c>
      <c r="D174" s="27">
        <v>0</v>
      </c>
      <c r="E174" s="27">
        <v>0</v>
      </c>
      <c r="F174" s="27">
        <f>145</f>
        <v>145</v>
      </c>
      <c r="G174" s="27">
        <f>175</f>
        <v>175</v>
      </c>
      <c r="H174" s="27"/>
    </row>
    <row r="175" spans="1:8" ht="15" customHeight="1" x14ac:dyDescent="0.2">
      <c r="A175" s="28"/>
      <c r="B175" s="28" t="s">
        <v>468</v>
      </c>
      <c r="C175" s="27">
        <f t="shared" si="2"/>
        <v>320</v>
      </c>
      <c r="D175" s="27">
        <v>0</v>
      </c>
      <c r="E175" s="27">
        <f>160</f>
        <v>160</v>
      </c>
      <c r="F175" s="27">
        <f>160</f>
        <v>160</v>
      </c>
      <c r="G175" s="27">
        <v>0</v>
      </c>
      <c r="H175" s="27"/>
    </row>
    <row r="176" spans="1:8" ht="15" customHeight="1" x14ac:dyDescent="0.2">
      <c r="A176" s="28"/>
      <c r="B176" s="28" t="s">
        <v>411</v>
      </c>
      <c r="C176" s="27">
        <f t="shared" si="2"/>
        <v>305</v>
      </c>
      <c r="D176" s="27">
        <v>0</v>
      </c>
      <c r="E176" s="27">
        <f>160+145</f>
        <v>305</v>
      </c>
      <c r="F176" s="27">
        <v>0</v>
      </c>
      <c r="G176" s="27">
        <v>0</v>
      </c>
      <c r="H176" s="27"/>
    </row>
    <row r="177" spans="1:8" ht="15" customHeight="1" x14ac:dyDescent="0.2">
      <c r="A177" s="28"/>
      <c r="B177" s="28" t="s">
        <v>410</v>
      </c>
      <c r="C177" s="27">
        <f t="shared" si="2"/>
        <v>305</v>
      </c>
      <c r="D177" s="27">
        <v>0</v>
      </c>
      <c r="E177" s="27">
        <f>175</f>
        <v>175</v>
      </c>
      <c r="F177" s="27">
        <f>130</f>
        <v>130</v>
      </c>
      <c r="G177" s="27">
        <v>0</v>
      </c>
      <c r="H177" s="27"/>
    </row>
    <row r="178" spans="1:8" ht="15" customHeight="1" x14ac:dyDescent="0.2">
      <c r="A178" s="32"/>
      <c r="B178" s="32" t="s">
        <v>563</v>
      </c>
      <c r="C178" s="33">
        <f t="shared" si="2"/>
        <v>300</v>
      </c>
      <c r="D178" s="27">
        <v>0</v>
      </c>
      <c r="E178" s="27">
        <v>0</v>
      </c>
      <c r="F178" s="27">
        <v>0</v>
      </c>
      <c r="G178" s="27">
        <f>300</f>
        <v>300</v>
      </c>
      <c r="H178" s="27"/>
    </row>
    <row r="179" spans="1:8" ht="15" customHeight="1" x14ac:dyDescent="0.2">
      <c r="A179" s="28"/>
      <c r="B179" s="28" t="s">
        <v>507</v>
      </c>
      <c r="C179" s="27">
        <f t="shared" si="2"/>
        <v>300</v>
      </c>
      <c r="D179" s="27">
        <v>0</v>
      </c>
      <c r="E179" s="27">
        <v>0</v>
      </c>
      <c r="F179" s="27">
        <f>300</f>
        <v>300</v>
      </c>
      <c r="G179" s="27">
        <v>0</v>
      </c>
      <c r="H179" s="27"/>
    </row>
    <row r="180" spans="1:8" ht="15" customHeight="1" x14ac:dyDescent="0.2">
      <c r="A180" s="28"/>
      <c r="B180" s="28" t="s">
        <v>530</v>
      </c>
      <c r="C180" s="27">
        <f t="shared" si="2"/>
        <v>300</v>
      </c>
      <c r="D180" s="27">
        <v>0</v>
      </c>
      <c r="E180" s="27">
        <v>0</v>
      </c>
      <c r="F180" s="27">
        <f>300</f>
        <v>300</v>
      </c>
      <c r="G180" s="27">
        <v>0</v>
      </c>
      <c r="H180" s="27"/>
    </row>
    <row r="181" spans="1:8" ht="15" customHeight="1" x14ac:dyDescent="0.2">
      <c r="A181" s="28"/>
      <c r="B181" s="28" t="s">
        <v>341</v>
      </c>
      <c r="C181" s="27">
        <f t="shared" si="2"/>
        <v>275</v>
      </c>
      <c r="D181" s="27">
        <f>160</f>
        <v>160</v>
      </c>
      <c r="E181" s="27">
        <f>115</f>
        <v>115</v>
      </c>
      <c r="F181" s="27">
        <v>0</v>
      </c>
      <c r="G181" s="27">
        <v>0</v>
      </c>
      <c r="H181" s="27"/>
    </row>
    <row r="182" spans="1:8" ht="15" customHeight="1" x14ac:dyDescent="0.2">
      <c r="A182" s="28"/>
      <c r="B182" s="28" t="s">
        <v>545</v>
      </c>
      <c r="C182" s="27">
        <f t="shared" si="2"/>
        <v>275</v>
      </c>
      <c r="D182" s="27">
        <v>0</v>
      </c>
      <c r="E182" s="27">
        <v>0</v>
      </c>
      <c r="F182" s="27">
        <f>275</f>
        <v>275</v>
      </c>
      <c r="G182" s="27">
        <v>0</v>
      </c>
      <c r="H182" s="27"/>
    </row>
    <row r="183" spans="1:8" ht="15" customHeight="1" x14ac:dyDescent="0.2">
      <c r="A183" s="28"/>
      <c r="B183" s="28" t="s">
        <v>407</v>
      </c>
      <c r="C183" s="27">
        <f t="shared" si="2"/>
        <v>275</v>
      </c>
      <c r="D183" s="27">
        <v>0</v>
      </c>
      <c r="E183" s="27">
        <f>275</f>
        <v>275</v>
      </c>
      <c r="F183" s="27">
        <v>0</v>
      </c>
      <c r="G183" s="27">
        <v>0</v>
      </c>
      <c r="H183" s="27"/>
    </row>
    <row r="184" spans="1:8" ht="15" customHeight="1" x14ac:dyDescent="0.2">
      <c r="A184" s="28"/>
      <c r="B184" s="28" t="s">
        <v>492</v>
      </c>
      <c r="C184" s="27">
        <f t="shared" si="2"/>
        <v>275</v>
      </c>
      <c r="D184" s="27">
        <v>0</v>
      </c>
      <c r="E184" s="27">
        <v>0</v>
      </c>
      <c r="F184" s="27">
        <f>275</f>
        <v>275</v>
      </c>
      <c r="G184" s="27">
        <v>0</v>
      </c>
      <c r="H184" s="27"/>
    </row>
    <row r="185" spans="1:8" ht="15" customHeight="1" x14ac:dyDescent="0.2">
      <c r="A185" s="28"/>
      <c r="B185" s="28" t="s">
        <v>444</v>
      </c>
      <c r="C185" s="27">
        <f t="shared" si="2"/>
        <v>275</v>
      </c>
      <c r="D185" s="27">
        <v>0</v>
      </c>
      <c r="E185" s="27">
        <f>275</f>
        <v>275</v>
      </c>
      <c r="F185" s="27">
        <v>0</v>
      </c>
      <c r="G185" s="27">
        <v>0</v>
      </c>
      <c r="H185" s="27"/>
    </row>
    <row r="186" spans="1:8" ht="15" customHeight="1" x14ac:dyDescent="0.2">
      <c r="A186" s="28"/>
      <c r="B186" s="28" t="s">
        <v>499</v>
      </c>
      <c r="C186" s="27">
        <f t="shared" si="2"/>
        <v>275</v>
      </c>
      <c r="D186" s="27">
        <v>0</v>
      </c>
      <c r="E186" s="27">
        <v>0</v>
      </c>
      <c r="F186" s="27">
        <f>275</f>
        <v>275</v>
      </c>
      <c r="G186" s="27">
        <v>0</v>
      </c>
      <c r="H186" s="27"/>
    </row>
    <row r="187" spans="1:8" ht="15" customHeight="1" x14ac:dyDescent="0.2">
      <c r="A187" s="28"/>
      <c r="B187" s="28" t="s">
        <v>535</v>
      </c>
      <c r="C187" s="27">
        <f t="shared" si="2"/>
        <v>275</v>
      </c>
      <c r="D187" s="27">
        <v>0</v>
      </c>
      <c r="E187" s="27">
        <v>0</v>
      </c>
      <c r="F187" s="27">
        <f>275</f>
        <v>275</v>
      </c>
      <c r="G187" s="27">
        <v>0</v>
      </c>
      <c r="H187" s="27"/>
    </row>
    <row r="188" spans="1:8" ht="15" customHeight="1" x14ac:dyDescent="0.2">
      <c r="A188" s="28"/>
      <c r="B188" s="28" t="s">
        <v>421</v>
      </c>
      <c r="C188" s="27">
        <f t="shared" si="2"/>
        <v>275</v>
      </c>
      <c r="D188" s="27">
        <v>0</v>
      </c>
      <c r="E188" s="27">
        <f>275</f>
        <v>275</v>
      </c>
      <c r="F188" s="27">
        <v>0</v>
      </c>
      <c r="G188" s="27">
        <v>0</v>
      </c>
      <c r="H188" s="27"/>
    </row>
    <row r="189" spans="1:8" ht="15" customHeight="1" x14ac:dyDescent="0.2">
      <c r="A189" s="28"/>
      <c r="B189" s="28" t="s">
        <v>355</v>
      </c>
      <c r="C189" s="27">
        <f t="shared" si="2"/>
        <v>275</v>
      </c>
      <c r="D189" s="27">
        <f>275</f>
        <v>275</v>
      </c>
      <c r="E189" s="27">
        <v>0</v>
      </c>
      <c r="F189" s="27">
        <v>0</v>
      </c>
      <c r="G189" s="27">
        <v>0</v>
      </c>
      <c r="H189" s="27"/>
    </row>
    <row r="190" spans="1:8" ht="15" customHeight="1" x14ac:dyDescent="0.2">
      <c r="A190" s="28"/>
      <c r="B190" s="28" t="s">
        <v>469</v>
      </c>
      <c r="C190" s="27">
        <f t="shared" si="2"/>
        <v>275</v>
      </c>
      <c r="D190" s="27">
        <v>0</v>
      </c>
      <c r="E190" s="27">
        <f>145+130</f>
        <v>275</v>
      </c>
      <c r="F190" s="27">
        <v>0</v>
      </c>
      <c r="G190" s="27">
        <v>0</v>
      </c>
      <c r="H190" s="27"/>
    </row>
    <row r="191" spans="1:8" ht="15" customHeight="1" x14ac:dyDescent="0.2">
      <c r="A191" s="28"/>
      <c r="B191" s="28" t="s">
        <v>531</v>
      </c>
      <c r="C191" s="27">
        <f t="shared" si="2"/>
        <v>275</v>
      </c>
      <c r="D191" s="27">
        <v>0</v>
      </c>
      <c r="E191" s="27">
        <v>0</v>
      </c>
      <c r="F191" s="27">
        <f>275</f>
        <v>275</v>
      </c>
      <c r="G191" s="27">
        <v>0</v>
      </c>
      <c r="H191" s="27"/>
    </row>
    <row r="192" spans="1:8" ht="15" customHeight="1" x14ac:dyDescent="0.2">
      <c r="A192" s="28"/>
      <c r="B192" s="28" t="s">
        <v>466</v>
      </c>
      <c r="C192" s="27">
        <f t="shared" si="2"/>
        <v>275</v>
      </c>
      <c r="D192" s="27">
        <v>0</v>
      </c>
      <c r="E192" s="27">
        <f>275</f>
        <v>275</v>
      </c>
      <c r="F192" s="27">
        <v>0</v>
      </c>
      <c r="G192" s="27">
        <v>0</v>
      </c>
      <c r="H192" s="27"/>
    </row>
    <row r="193" spans="1:8" ht="15" customHeight="1" x14ac:dyDescent="0.2">
      <c r="A193" s="28"/>
      <c r="B193" s="28" t="s">
        <v>436</v>
      </c>
      <c r="C193" s="27">
        <f t="shared" si="2"/>
        <v>275</v>
      </c>
      <c r="D193" s="27">
        <v>0</v>
      </c>
      <c r="E193" s="27">
        <f>145+130</f>
        <v>275</v>
      </c>
      <c r="F193" s="27">
        <v>0</v>
      </c>
      <c r="G193" s="27">
        <v>0</v>
      </c>
      <c r="H193" s="27"/>
    </row>
    <row r="194" spans="1:8" ht="15" customHeight="1" x14ac:dyDescent="0.2">
      <c r="A194" s="28"/>
      <c r="B194" s="28" t="s">
        <v>428</v>
      </c>
      <c r="C194" s="27">
        <f t="shared" si="2"/>
        <v>275</v>
      </c>
      <c r="D194" s="27">
        <v>0</v>
      </c>
      <c r="E194" s="27">
        <f>275</f>
        <v>275</v>
      </c>
      <c r="F194" s="27">
        <v>0</v>
      </c>
      <c r="G194" s="27">
        <v>0</v>
      </c>
      <c r="H194" s="27"/>
    </row>
    <row r="195" spans="1:8" ht="15" customHeight="1" x14ac:dyDescent="0.2">
      <c r="A195" s="28"/>
      <c r="B195" s="28" t="s">
        <v>460</v>
      </c>
      <c r="C195" s="27">
        <f t="shared" si="2"/>
        <v>275</v>
      </c>
      <c r="D195" s="27">
        <v>0</v>
      </c>
      <c r="E195" s="27">
        <f>275</f>
        <v>275</v>
      </c>
      <c r="F195" s="27">
        <v>0</v>
      </c>
      <c r="G195" s="27">
        <v>0</v>
      </c>
      <c r="H195" s="27"/>
    </row>
    <row r="196" spans="1:8" ht="15" customHeight="1" x14ac:dyDescent="0.2">
      <c r="A196" s="28"/>
      <c r="B196" s="28" t="s">
        <v>487</v>
      </c>
      <c r="C196" s="27">
        <f t="shared" si="2"/>
        <v>260</v>
      </c>
      <c r="D196" s="27">
        <v>0</v>
      </c>
      <c r="E196" s="27">
        <f>115</f>
        <v>115</v>
      </c>
      <c r="F196" s="27">
        <f>145</f>
        <v>145</v>
      </c>
      <c r="G196" s="27">
        <v>0</v>
      </c>
      <c r="H196" s="27"/>
    </row>
    <row r="197" spans="1:8" ht="15" customHeight="1" x14ac:dyDescent="0.2">
      <c r="A197" s="28"/>
      <c r="B197" s="28" t="s">
        <v>538</v>
      </c>
      <c r="C197" s="27">
        <f t="shared" si="2"/>
        <v>250</v>
      </c>
      <c r="D197" s="27">
        <v>0</v>
      </c>
      <c r="E197" s="27">
        <v>0</v>
      </c>
      <c r="F197" s="27">
        <f>250</f>
        <v>250</v>
      </c>
      <c r="G197" s="27">
        <v>0</v>
      </c>
      <c r="H197" s="27"/>
    </row>
    <row r="198" spans="1:8" ht="15" customHeight="1" x14ac:dyDescent="0.2">
      <c r="A198" s="28"/>
      <c r="B198" s="28" t="s">
        <v>501</v>
      </c>
      <c r="C198" s="27">
        <f t="shared" si="2"/>
        <v>250</v>
      </c>
      <c r="D198" s="27">
        <v>0</v>
      </c>
      <c r="E198" s="27">
        <v>0</v>
      </c>
      <c r="F198" s="27">
        <f>250</f>
        <v>250</v>
      </c>
      <c r="G198" s="27">
        <v>0</v>
      </c>
      <c r="H198" s="27"/>
    </row>
    <row r="199" spans="1:8" ht="15" customHeight="1" x14ac:dyDescent="0.2">
      <c r="A199" s="28"/>
      <c r="B199" s="28" t="s">
        <v>510</v>
      </c>
      <c r="C199" s="27">
        <f t="shared" si="2"/>
        <v>250</v>
      </c>
      <c r="D199" s="27">
        <v>0</v>
      </c>
      <c r="E199" s="27">
        <v>0</v>
      </c>
      <c r="F199" s="27">
        <f>250</f>
        <v>250</v>
      </c>
      <c r="G199" s="27">
        <v>0</v>
      </c>
      <c r="H199" s="27"/>
    </row>
    <row r="200" spans="1:8" ht="15" customHeight="1" x14ac:dyDescent="0.2">
      <c r="A200" s="28"/>
      <c r="B200" s="28" t="s">
        <v>496</v>
      </c>
      <c r="C200" s="27">
        <f t="shared" si="2"/>
        <v>250</v>
      </c>
      <c r="D200" s="27">
        <v>0</v>
      </c>
      <c r="E200" s="27">
        <v>0</v>
      </c>
      <c r="F200" s="27">
        <f>250</f>
        <v>250</v>
      </c>
      <c r="G200" s="27">
        <v>0</v>
      </c>
      <c r="H200" s="27"/>
    </row>
    <row r="201" spans="1:8" ht="15" customHeight="1" x14ac:dyDescent="0.2">
      <c r="A201" s="28"/>
      <c r="B201" s="28" t="s">
        <v>422</v>
      </c>
      <c r="C201" s="27">
        <f t="shared" si="2"/>
        <v>250</v>
      </c>
      <c r="D201" s="27">
        <v>0</v>
      </c>
      <c r="E201" s="27">
        <f>250</f>
        <v>250</v>
      </c>
      <c r="F201" s="27">
        <v>0</v>
      </c>
      <c r="G201" s="27">
        <v>0</v>
      </c>
      <c r="H201" s="27"/>
    </row>
    <row r="202" spans="1:8" ht="15" customHeight="1" x14ac:dyDescent="0.2">
      <c r="A202" s="28"/>
      <c r="B202" s="28" t="s">
        <v>550</v>
      </c>
      <c r="C202" s="27">
        <f t="shared" ref="C202:C265" si="3">SUM(D202:H202)</f>
        <v>250</v>
      </c>
      <c r="D202" s="27">
        <v>0</v>
      </c>
      <c r="E202" s="27">
        <v>0</v>
      </c>
      <c r="F202" s="27">
        <f>250</f>
        <v>250</v>
      </c>
      <c r="G202" s="27">
        <v>0</v>
      </c>
      <c r="H202" s="27"/>
    </row>
    <row r="203" spans="1:8" ht="15" customHeight="1" x14ac:dyDescent="0.2">
      <c r="A203" s="28"/>
      <c r="B203" s="28" t="s">
        <v>439</v>
      </c>
      <c r="C203" s="27">
        <f t="shared" si="3"/>
        <v>250</v>
      </c>
      <c r="D203" s="27">
        <v>0</v>
      </c>
      <c r="E203" s="27">
        <f>250</f>
        <v>250</v>
      </c>
      <c r="F203" s="27">
        <v>0</v>
      </c>
      <c r="G203" s="27">
        <v>0</v>
      </c>
      <c r="H203" s="27"/>
    </row>
    <row r="204" spans="1:8" ht="15" customHeight="1" x14ac:dyDescent="0.2">
      <c r="A204" s="28"/>
      <c r="B204" s="28" t="s">
        <v>429</v>
      </c>
      <c r="C204" s="27">
        <f t="shared" si="3"/>
        <v>250</v>
      </c>
      <c r="D204" s="27">
        <v>0</v>
      </c>
      <c r="E204" s="27">
        <f>250</f>
        <v>250</v>
      </c>
      <c r="F204" s="27">
        <v>0</v>
      </c>
      <c r="G204" s="27">
        <v>0</v>
      </c>
      <c r="H204" s="27"/>
    </row>
    <row r="205" spans="1:8" ht="15" customHeight="1" x14ac:dyDescent="0.2">
      <c r="A205" s="28"/>
      <c r="B205" s="28" t="s">
        <v>517</v>
      </c>
      <c r="C205" s="27">
        <f t="shared" si="3"/>
        <v>250</v>
      </c>
      <c r="D205" s="27">
        <v>0</v>
      </c>
      <c r="E205" s="27">
        <v>0</v>
      </c>
      <c r="F205" s="27">
        <f>250</f>
        <v>250</v>
      </c>
      <c r="G205" s="27">
        <v>0</v>
      </c>
      <c r="H205" s="27"/>
    </row>
    <row r="206" spans="1:8" ht="15" customHeight="1" x14ac:dyDescent="0.2">
      <c r="A206" s="28"/>
      <c r="B206" s="28" t="s">
        <v>515</v>
      </c>
      <c r="C206" s="27">
        <f t="shared" si="3"/>
        <v>245</v>
      </c>
      <c r="D206" s="27">
        <v>0</v>
      </c>
      <c r="E206" s="27">
        <v>0</v>
      </c>
      <c r="F206" s="27">
        <f>130+115</f>
        <v>245</v>
      </c>
      <c r="G206" s="27">
        <v>0</v>
      </c>
      <c r="H206" s="27"/>
    </row>
    <row r="207" spans="1:8" ht="15" customHeight="1" x14ac:dyDescent="0.2">
      <c r="A207" s="28"/>
      <c r="B207" s="28" t="s">
        <v>391</v>
      </c>
      <c r="C207" s="27">
        <f t="shared" si="3"/>
        <v>225</v>
      </c>
      <c r="D207" s="27">
        <f>225</f>
        <v>225</v>
      </c>
      <c r="E207" s="27">
        <v>0</v>
      </c>
      <c r="F207" s="27">
        <v>0</v>
      </c>
      <c r="G207" s="27">
        <v>0</v>
      </c>
      <c r="H207" s="27"/>
    </row>
    <row r="208" spans="1:8" ht="15" customHeight="1" x14ac:dyDescent="0.2">
      <c r="A208" s="28"/>
      <c r="B208" s="28" t="s">
        <v>451</v>
      </c>
      <c r="C208" s="27">
        <f t="shared" si="3"/>
        <v>225</v>
      </c>
      <c r="D208" s="27">
        <v>0</v>
      </c>
      <c r="E208" s="27">
        <f>225</f>
        <v>225</v>
      </c>
      <c r="F208" s="27">
        <v>0</v>
      </c>
      <c r="G208" s="27">
        <v>0</v>
      </c>
      <c r="H208" s="27"/>
    </row>
    <row r="209" spans="1:8" ht="15" customHeight="1" x14ac:dyDescent="0.2">
      <c r="A209" s="28"/>
      <c r="B209" s="28" t="s">
        <v>555</v>
      </c>
      <c r="C209" s="27">
        <f t="shared" si="3"/>
        <v>225</v>
      </c>
      <c r="D209" s="27">
        <v>0</v>
      </c>
      <c r="E209" s="27">
        <v>0</v>
      </c>
      <c r="F209" s="27">
        <v>0</v>
      </c>
      <c r="G209" s="27">
        <f>225</f>
        <v>225</v>
      </c>
      <c r="H209" s="27"/>
    </row>
    <row r="210" spans="1:8" ht="15" customHeight="1" x14ac:dyDescent="0.2">
      <c r="A210" s="28"/>
      <c r="B210" s="28" t="s">
        <v>497</v>
      </c>
      <c r="C210" s="27">
        <f t="shared" si="3"/>
        <v>225</v>
      </c>
      <c r="D210" s="27">
        <v>0</v>
      </c>
      <c r="E210" s="27">
        <v>0</v>
      </c>
      <c r="F210" s="27">
        <f>225</f>
        <v>225</v>
      </c>
      <c r="G210" s="27">
        <v>0</v>
      </c>
      <c r="H210" s="27"/>
    </row>
    <row r="211" spans="1:8" ht="15" customHeight="1" x14ac:dyDescent="0.2">
      <c r="A211" s="28"/>
      <c r="B211" s="28" t="s">
        <v>434</v>
      </c>
      <c r="C211" s="27">
        <f t="shared" si="3"/>
        <v>225</v>
      </c>
      <c r="D211" s="27">
        <v>0</v>
      </c>
      <c r="E211" s="27">
        <f>225</f>
        <v>225</v>
      </c>
      <c r="F211" s="27">
        <v>0</v>
      </c>
      <c r="G211" s="27">
        <v>0</v>
      </c>
      <c r="H211" s="27"/>
    </row>
    <row r="212" spans="1:8" ht="15" customHeight="1" x14ac:dyDescent="0.2">
      <c r="A212" s="28"/>
      <c r="B212" s="28" t="s">
        <v>551</v>
      </c>
      <c r="C212" s="27">
        <f t="shared" si="3"/>
        <v>200</v>
      </c>
      <c r="D212" s="27">
        <v>0</v>
      </c>
      <c r="E212" s="27">
        <v>0</v>
      </c>
      <c r="F212" s="27">
        <f>200</f>
        <v>200</v>
      </c>
      <c r="G212" s="27">
        <v>0</v>
      </c>
      <c r="H212" s="27"/>
    </row>
    <row r="213" spans="1:8" ht="15" customHeight="1" x14ac:dyDescent="0.2">
      <c r="A213" s="28"/>
      <c r="B213" s="28" t="s">
        <v>560</v>
      </c>
      <c r="C213" s="27">
        <f t="shared" si="3"/>
        <v>200</v>
      </c>
      <c r="D213" s="27">
        <v>0</v>
      </c>
      <c r="E213" s="27">
        <v>0</v>
      </c>
      <c r="F213" s="27">
        <v>0</v>
      </c>
      <c r="G213" s="27">
        <f>200</f>
        <v>200</v>
      </c>
      <c r="H213" s="27"/>
    </row>
    <row r="214" spans="1:8" ht="15" customHeight="1" x14ac:dyDescent="0.2">
      <c r="A214" s="28"/>
      <c r="B214" s="28" t="s">
        <v>494</v>
      </c>
      <c r="C214" s="27">
        <f t="shared" si="3"/>
        <v>200</v>
      </c>
      <c r="D214" s="27">
        <v>0</v>
      </c>
      <c r="E214" s="27">
        <v>0</v>
      </c>
      <c r="F214" s="27">
        <f>200</f>
        <v>200</v>
      </c>
      <c r="G214" s="27">
        <v>0</v>
      </c>
      <c r="H214" s="27"/>
    </row>
    <row r="215" spans="1:8" ht="15" customHeight="1" x14ac:dyDescent="0.2">
      <c r="A215" s="28"/>
      <c r="B215" s="28" t="s">
        <v>374</v>
      </c>
      <c r="C215" s="27">
        <f t="shared" si="3"/>
        <v>200</v>
      </c>
      <c r="D215" s="27">
        <f>200</f>
        <v>200</v>
      </c>
      <c r="E215" s="27">
        <v>0</v>
      </c>
      <c r="F215" s="27">
        <v>0</v>
      </c>
      <c r="G215" s="27">
        <v>0</v>
      </c>
      <c r="H215" s="27"/>
    </row>
    <row r="216" spans="1:8" ht="15" customHeight="1" x14ac:dyDescent="0.2">
      <c r="A216" s="28"/>
      <c r="B216" s="28" t="s">
        <v>519</v>
      </c>
      <c r="C216" s="27">
        <f t="shared" si="3"/>
        <v>200</v>
      </c>
      <c r="D216" s="27">
        <v>0</v>
      </c>
      <c r="E216" s="27">
        <v>0</v>
      </c>
      <c r="F216" s="27">
        <f>200</f>
        <v>200</v>
      </c>
      <c r="G216" s="27">
        <v>0</v>
      </c>
      <c r="H216" s="27"/>
    </row>
    <row r="217" spans="1:8" ht="15" customHeight="1" x14ac:dyDescent="0.2">
      <c r="A217" s="28"/>
      <c r="B217" s="28" t="s">
        <v>564</v>
      </c>
      <c r="C217" s="27">
        <f t="shared" si="3"/>
        <v>200</v>
      </c>
      <c r="D217" s="27">
        <v>0</v>
      </c>
      <c r="E217" s="27">
        <v>0</v>
      </c>
      <c r="F217" s="27">
        <v>0</v>
      </c>
      <c r="G217" s="27">
        <f>200</f>
        <v>200</v>
      </c>
      <c r="H217" s="27"/>
    </row>
    <row r="218" spans="1:8" ht="15" customHeight="1" x14ac:dyDescent="0.2">
      <c r="A218" s="28"/>
      <c r="B218" s="28" t="s">
        <v>552</v>
      </c>
      <c r="C218" s="27">
        <f t="shared" si="3"/>
        <v>200</v>
      </c>
      <c r="D218" s="27">
        <v>0</v>
      </c>
      <c r="E218" s="27">
        <v>0</v>
      </c>
      <c r="F218" s="27">
        <v>0</v>
      </c>
      <c r="G218" s="27">
        <f>200</f>
        <v>200</v>
      </c>
      <c r="H218" s="27"/>
    </row>
    <row r="219" spans="1:8" ht="15" customHeight="1" x14ac:dyDescent="0.2">
      <c r="A219" s="28"/>
      <c r="B219" s="28" t="s">
        <v>467</v>
      </c>
      <c r="C219" s="27">
        <f t="shared" si="3"/>
        <v>200</v>
      </c>
      <c r="D219" s="27">
        <v>0</v>
      </c>
      <c r="E219" s="27">
        <f>200</f>
        <v>200</v>
      </c>
      <c r="F219" s="27">
        <v>0</v>
      </c>
      <c r="G219" s="27">
        <v>0</v>
      </c>
      <c r="H219" s="27"/>
    </row>
    <row r="220" spans="1:8" ht="15" customHeight="1" x14ac:dyDescent="0.2">
      <c r="A220" s="28"/>
      <c r="B220" s="28" t="s">
        <v>463</v>
      </c>
      <c r="C220" s="27">
        <f t="shared" si="3"/>
        <v>200</v>
      </c>
      <c r="D220" s="27">
        <v>0</v>
      </c>
      <c r="E220" s="27">
        <f>200</f>
        <v>200</v>
      </c>
      <c r="F220" s="27">
        <v>0</v>
      </c>
      <c r="G220" s="27">
        <v>0</v>
      </c>
      <c r="H220" s="27"/>
    </row>
    <row r="221" spans="1:8" ht="15" customHeight="1" x14ac:dyDescent="0.2">
      <c r="A221" s="28"/>
      <c r="B221" s="28" t="s">
        <v>424</v>
      </c>
      <c r="C221" s="27">
        <f t="shared" si="3"/>
        <v>200</v>
      </c>
      <c r="D221" s="27">
        <v>0</v>
      </c>
      <c r="E221" s="27">
        <f>200</f>
        <v>200</v>
      </c>
      <c r="F221" s="27">
        <v>0</v>
      </c>
      <c r="G221" s="27">
        <v>0</v>
      </c>
      <c r="H221" s="27"/>
    </row>
    <row r="222" spans="1:8" ht="15" customHeight="1" x14ac:dyDescent="0.2">
      <c r="A222" s="28"/>
      <c r="B222" s="28" t="s">
        <v>464</v>
      </c>
      <c r="C222" s="27">
        <f t="shared" si="3"/>
        <v>175</v>
      </c>
      <c r="D222" s="27">
        <v>0</v>
      </c>
      <c r="E222" s="27">
        <f>175</f>
        <v>175</v>
      </c>
      <c r="F222" s="27">
        <v>0</v>
      </c>
      <c r="G222" s="27">
        <v>0</v>
      </c>
      <c r="H222" s="27"/>
    </row>
    <row r="223" spans="1:8" ht="15" customHeight="1" x14ac:dyDescent="0.2">
      <c r="A223" s="28"/>
      <c r="B223" s="28" t="s">
        <v>511</v>
      </c>
      <c r="C223" s="27">
        <f t="shared" si="3"/>
        <v>175</v>
      </c>
      <c r="D223" s="27">
        <v>0</v>
      </c>
      <c r="E223" s="27">
        <v>0</v>
      </c>
      <c r="F223" s="27">
        <f>175</f>
        <v>175</v>
      </c>
      <c r="G223" s="27">
        <v>0</v>
      </c>
      <c r="H223" s="27"/>
    </row>
    <row r="224" spans="1:8" ht="15" customHeight="1" x14ac:dyDescent="0.2">
      <c r="A224" s="28"/>
      <c r="B224" s="28" t="s">
        <v>476</v>
      </c>
      <c r="C224" s="27">
        <f t="shared" si="3"/>
        <v>175</v>
      </c>
      <c r="D224" s="27">
        <v>0</v>
      </c>
      <c r="E224" s="27">
        <f>175</f>
        <v>175</v>
      </c>
      <c r="F224" s="27">
        <v>0</v>
      </c>
      <c r="G224" s="27">
        <v>0</v>
      </c>
      <c r="H224" s="27"/>
    </row>
    <row r="225" spans="1:8" ht="15" customHeight="1" x14ac:dyDescent="0.2">
      <c r="A225" s="28"/>
      <c r="B225" s="28" t="s">
        <v>556</v>
      </c>
      <c r="C225" s="27">
        <f t="shared" si="3"/>
        <v>175</v>
      </c>
      <c r="D225" s="27">
        <v>0</v>
      </c>
      <c r="E225" s="27">
        <v>0</v>
      </c>
      <c r="F225" s="27">
        <v>0</v>
      </c>
      <c r="G225" s="27">
        <f>175</f>
        <v>175</v>
      </c>
      <c r="H225" s="27"/>
    </row>
    <row r="226" spans="1:8" ht="15" customHeight="1" x14ac:dyDescent="0.2">
      <c r="A226" s="28"/>
      <c r="B226" s="28" t="s">
        <v>425</v>
      </c>
      <c r="C226" s="27">
        <f t="shared" si="3"/>
        <v>160</v>
      </c>
      <c r="D226" s="27">
        <v>0</v>
      </c>
      <c r="E226" s="27">
        <f>160</f>
        <v>160</v>
      </c>
      <c r="F226" s="27">
        <v>0</v>
      </c>
      <c r="G226" s="27">
        <v>0</v>
      </c>
      <c r="H226" s="27"/>
    </row>
    <row r="227" spans="1:8" ht="15" customHeight="1" x14ac:dyDescent="0.2">
      <c r="A227" s="28"/>
      <c r="B227" s="28" t="s">
        <v>539</v>
      </c>
      <c r="C227" s="27">
        <f t="shared" si="3"/>
        <v>160</v>
      </c>
      <c r="D227" s="27">
        <v>0</v>
      </c>
      <c r="E227" s="27">
        <v>0</v>
      </c>
      <c r="F227" s="27">
        <f>160</f>
        <v>160</v>
      </c>
      <c r="G227" s="27">
        <v>0</v>
      </c>
      <c r="H227" s="27"/>
    </row>
    <row r="228" spans="1:8" ht="15" customHeight="1" x14ac:dyDescent="0.2">
      <c r="A228" s="28"/>
      <c r="B228" s="28" t="s">
        <v>557</v>
      </c>
      <c r="C228" s="27">
        <f t="shared" si="3"/>
        <v>160</v>
      </c>
      <c r="D228" s="27">
        <v>0</v>
      </c>
      <c r="E228" s="27">
        <v>0</v>
      </c>
      <c r="F228" s="27">
        <v>0</v>
      </c>
      <c r="G228" s="27">
        <f>160</f>
        <v>160</v>
      </c>
      <c r="H228" s="27"/>
    </row>
    <row r="229" spans="1:8" ht="15" customHeight="1" x14ac:dyDescent="0.2">
      <c r="A229" s="28"/>
      <c r="B229" s="28" t="s">
        <v>561</v>
      </c>
      <c r="C229" s="27">
        <f t="shared" si="3"/>
        <v>160</v>
      </c>
      <c r="D229" s="27">
        <v>0</v>
      </c>
      <c r="E229" s="27">
        <v>0</v>
      </c>
      <c r="F229" s="27">
        <v>0</v>
      </c>
      <c r="G229" s="27">
        <f>160</f>
        <v>160</v>
      </c>
      <c r="H229" s="27"/>
    </row>
    <row r="230" spans="1:8" ht="15" customHeight="1" x14ac:dyDescent="0.2">
      <c r="A230" s="28"/>
      <c r="B230" s="28" t="s">
        <v>375</v>
      </c>
      <c r="C230" s="27">
        <f t="shared" si="3"/>
        <v>160</v>
      </c>
      <c r="D230" s="27">
        <f>160</f>
        <v>160</v>
      </c>
      <c r="E230" s="27">
        <v>0</v>
      </c>
      <c r="F230" s="27">
        <v>0</v>
      </c>
      <c r="G230" s="27">
        <v>0</v>
      </c>
      <c r="H230" s="27"/>
    </row>
    <row r="231" spans="1:8" ht="15" customHeight="1" x14ac:dyDescent="0.2">
      <c r="A231" s="28"/>
      <c r="B231" s="28" t="s">
        <v>475</v>
      </c>
      <c r="C231" s="27">
        <f t="shared" si="3"/>
        <v>145</v>
      </c>
      <c r="D231" s="27">
        <v>0</v>
      </c>
      <c r="E231" s="27">
        <f>145</f>
        <v>145</v>
      </c>
      <c r="F231" s="27">
        <v>0</v>
      </c>
      <c r="G231" s="27">
        <v>0</v>
      </c>
      <c r="H231" s="27"/>
    </row>
    <row r="232" spans="1:8" ht="15" customHeight="1" x14ac:dyDescent="0.2">
      <c r="A232" s="28"/>
      <c r="B232" s="28" t="s">
        <v>480</v>
      </c>
      <c r="C232" s="27">
        <f t="shared" si="3"/>
        <v>145</v>
      </c>
      <c r="D232" s="27">
        <v>0</v>
      </c>
      <c r="E232" s="27">
        <f>145</f>
        <v>145</v>
      </c>
      <c r="F232" s="27">
        <v>0</v>
      </c>
      <c r="G232" s="27">
        <v>0</v>
      </c>
      <c r="H232" s="27"/>
    </row>
    <row r="233" spans="1:8" ht="15" customHeight="1" x14ac:dyDescent="0.2">
      <c r="A233" s="28"/>
      <c r="B233" s="28" t="s">
        <v>490</v>
      </c>
      <c r="C233" s="27">
        <f t="shared" si="3"/>
        <v>145</v>
      </c>
      <c r="D233" s="27">
        <v>0</v>
      </c>
      <c r="E233" s="27">
        <v>0</v>
      </c>
      <c r="F233" s="27">
        <f>145</f>
        <v>145</v>
      </c>
      <c r="G233" s="27">
        <v>0</v>
      </c>
      <c r="H233" s="27"/>
    </row>
    <row r="234" spans="1:8" ht="15" customHeight="1" x14ac:dyDescent="0.2">
      <c r="A234" s="28"/>
      <c r="B234" s="28" t="s">
        <v>412</v>
      </c>
      <c r="C234" s="27">
        <f t="shared" si="3"/>
        <v>145</v>
      </c>
      <c r="D234" s="27">
        <v>0</v>
      </c>
      <c r="E234" s="27">
        <f>145</f>
        <v>145</v>
      </c>
      <c r="F234" s="27">
        <v>0</v>
      </c>
      <c r="G234" s="27">
        <v>0</v>
      </c>
      <c r="H234" s="27"/>
    </row>
    <row r="235" spans="1:8" ht="15" customHeight="1" x14ac:dyDescent="0.2">
      <c r="A235" s="28"/>
      <c r="B235" s="28" t="s">
        <v>527</v>
      </c>
      <c r="C235" s="27">
        <f t="shared" si="3"/>
        <v>145</v>
      </c>
      <c r="D235" s="27">
        <v>0</v>
      </c>
      <c r="E235" s="27">
        <v>0</v>
      </c>
      <c r="F235" s="27">
        <f>145</f>
        <v>145</v>
      </c>
      <c r="G235" s="27">
        <v>0</v>
      </c>
      <c r="H235" s="27"/>
    </row>
    <row r="236" spans="1:8" ht="15" customHeight="1" x14ac:dyDescent="0.2">
      <c r="A236" s="28"/>
      <c r="B236" s="28" t="s">
        <v>482</v>
      </c>
      <c r="C236" s="27">
        <f t="shared" si="3"/>
        <v>145</v>
      </c>
      <c r="D236" s="27">
        <v>0</v>
      </c>
      <c r="E236" s="27">
        <f>145</f>
        <v>145</v>
      </c>
      <c r="F236" s="27">
        <v>0</v>
      </c>
      <c r="G236" s="27">
        <v>0</v>
      </c>
      <c r="H236" s="27"/>
    </row>
    <row r="237" spans="1:8" ht="15" customHeight="1" x14ac:dyDescent="0.2">
      <c r="A237" s="28"/>
      <c r="B237" s="28" t="s">
        <v>477</v>
      </c>
      <c r="C237" s="27">
        <f t="shared" si="3"/>
        <v>130</v>
      </c>
      <c r="D237" s="27">
        <v>0</v>
      </c>
      <c r="E237" s="27">
        <f>130</f>
        <v>130</v>
      </c>
      <c r="F237" s="27">
        <v>0</v>
      </c>
      <c r="G237" s="27">
        <v>0</v>
      </c>
      <c r="H237" s="27"/>
    </row>
    <row r="238" spans="1:8" ht="15" customHeight="1" x14ac:dyDescent="0.2">
      <c r="A238" s="28"/>
      <c r="B238" s="28" t="s">
        <v>483</v>
      </c>
      <c r="C238" s="27">
        <f t="shared" si="3"/>
        <v>130</v>
      </c>
      <c r="D238" s="27">
        <v>0</v>
      </c>
      <c r="E238" s="27">
        <f>130</f>
        <v>130</v>
      </c>
      <c r="F238" s="27">
        <v>0</v>
      </c>
      <c r="G238" s="27">
        <v>0</v>
      </c>
      <c r="H238" s="27"/>
    </row>
    <row r="239" spans="1:8" ht="15" customHeight="1" x14ac:dyDescent="0.2">
      <c r="A239" s="28"/>
      <c r="B239" s="28" t="s">
        <v>513</v>
      </c>
      <c r="C239" s="27">
        <f t="shared" si="3"/>
        <v>130</v>
      </c>
      <c r="D239" s="27">
        <v>0</v>
      </c>
      <c r="E239" s="27">
        <v>0</v>
      </c>
      <c r="F239" s="27">
        <f>130</f>
        <v>130</v>
      </c>
      <c r="G239" s="27">
        <v>0</v>
      </c>
      <c r="H239" s="27"/>
    </row>
    <row r="240" spans="1:8" ht="15" customHeight="1" x14ac:dyDescent="0.2">
      <c r="A240" s="28"/>
      <c r="B240" s="28" t="s">
        <v>400</v>
      </c>
      <c r="C240" s="27">
        <f t="shared" si="3"/>
        <v>130</v>
      </c>
      <c r="D240" s="27">
        <f>130</f>
        <v>130</v>
      </c>
      <c r="E240" s="27">
        <v>0</v>
      </c>
      <c r="F240" s="27">
        <v>0</v>
      </c>
      <c r="G240" s="27">
        <v>0</v>
      </c>
      <c r="H240" s="27"/>
    </row>
    <row r="241" spans="1:8" ht="15" customHeight="1" x14ac:dyDescent="0.2">
      <c r="A241" s="28"/>
      <c r="B241" s="28" t="s">
        <v>533</v>
      </c>
      <c r="C241" s="27">
        <f t="shared" si="3"/>
        <v>130</v>
      </c>
      <c r="D241" s="27">
        <v>0</v>
      </c>
      <c r="E241" s="27">
        <v>0</v>
      </c>
      <c r="F241" s="27">
        <f>130</f>
        <v>130</v>
      </c>
      <c r="G241" s="27">
        <v>0</v>
      </c>
      <c r="H241" s="27"/>
    </row>
    <row r="242" spans="1:8" ht="15" customHeight="1" x14ac:dyDescent="0.2">
      <c r="A242" s="28"/>
      <c r="B242" s="28" t="s">
        <v>458</v>
      </c>
      <c r="C242" s="27">
        <f t="shared" si="3"/>
        <v>130</v>
      </c>
      <c r="D242" s="27">
        <v>0</v>
      </c>
      <c r="E242" s="27">
        <f>130</f>
        <v>130</v>
      </c>
      <c r="F242" s="27">
        <v>0</v>
      </c>
      <c r="G242" s="27">
        <v>0</v>
      </c>
      <c r="H242" s="27"/>
    </row>
    <row r="243" spans="1:8" ht="15" customHeight="1" x14ac:dyDescent="0.2">
      <c r="A243" s="28"/>
      <c r="B243" s="28" t="s">
        <v>396</v>
      </c>
      <c r="C243" s="27">
        <f t="shared" si="3"/>
        <v>130</v>
      </c>
      <c r="D243" s="27">
        <f>130</f>
        <v>130</v>
      </c>
      <c r="E243" s="27">
        <v>0</v>
      </c>
      <c r="F243" s="27">
        <v>0</v>
      </c>
      <c r="G243" s="27">
        <v>0</v>
      </c>
      <c r="H243" s="27"/>
    </row>
    <row r="244" spans="1:8" ht="15" customHeight="1" x14ac:dyDescent="0.2">
      <c r="A244" s="28"/>
      <c r="B244" s="28" t="s">
        <v>358</v>
      </c>
      <c r="C244" s="27">
        <f t="shared" si="3"/>
        <v>130</v>
      </c>
      <c r="D244" s="27">
        <f>130</f>
        <v>130</v>
      </c>
      <c r="E244" s="27">
        <v>0</v>
      </c>
      <c r="F244" s="27">
        <v>0</v>
      </c>
      <c r="G244" s="27">
        <v>0</v>
      </c>
      <c r="H244" s="27"/>
    </row>
    <row r="245" spans="1:8" ht="15" customHeight="1" x14ac:dyDescent="0.2">
      <c r="A245" s="28"/>
      <c r="B245" s="28" t="s">
        <v>528</v>
      </c>
      <c r="C245" s="27">
        <f t="shared" si="3"/>
        <v>130</v>
      </c>
      <c r="D245" s="27">
        <v>0</v>
      </c>
      <c r="E245" s="27">
        <v>0</v>
      </c>
      <c r="F245" s="27">
        <f>130</f>
        <v>130</v>
      </c>
      <c r="G245" s="27">
        <v>0</v>
      </c>
      <c r="H245" s="27"/>
    </row>
    <row r="246" spans="1:8" ht="15" customHeight="1" x14ac:dyDescent="0.2">
      <c r="A246" s="28"/>
      <c r="B246" s="28" t="s">
        <v>516</v>
      </c>
      <c r="C246" s="27">
        <f t="shared" si="3"/>
        <v>115</v>
      </c>
      <c r="D246" s="27">
        <v>0</v>
      </c>
      <c r="E246" s="27">
        <v>0</v>
      </c>
      <c r="F246" s="27">
        <f>115</f>
        <v>115</v>
      </c>
      <c r="G246" s="27">
        <v>0</v>
      </c>
      <c r="H246" s="27"/>
    </row>
    <row r="247" spans="1:8" ht="15" customHeight="1" x14ac:dyDescent="0.2">
      <c r="A247" s="28"/>
      <c r="B247" s="28" t="s">
        <v>558</v>
      </c>
      <c r="C247" s="27">
        <f t="shared" si="3"/>
        <v>115</v>
      </c>
      <c r="D247" s="27">
        <v>0</v>
      </c>
      <c r="E247" s="27">
        <v>0</v>
      </c>
      <c r="F247" s="27">
        <v>0</v>
      </c>
      <c r="G247" s="27">
        <v>115</v>
      </c>
      <c r="H247" s="27"/>
    </row>
    <row r="248" spans="1:8" ht="15" customHeight="1" x14ac:dyDescent="0.2">
      <c r="A248" s="28"/>
      <c r="B248" s="28" t="s">
        <v>514</v>
      </c>
      <c r="C248" s="27">
        <f t="shared" si="3"/>
        <v>115</v>
      </c>
      <c r="D248" s="27">
        <v>0</v>
      </c>
      <c r="E248" s="27">
        <v>0</v>
      </c>
      <c r="F248" s="27">
        <f>115</f>
        <v>115</v>
      </c>
      <c r="G248" s="27">
        <v>0</v>
      </c>
      <c r="H248" s="27"/>
    </row>
    <row r="249" spans="1:8" ht="15" customHeight="1" x14ac:dyDescent="0.2">
      <c r="A249" s="28"/>
      <c r="B249" s="28" t="s">
        <v>443</v>
      </c>
      <c r="C249" s="27">
        <f t="shared" si="3"/>
        <v>115</v>
      </c>
      <c r="D249" s="27">
        <v>0</v>
      </c>
      <c r="E249" s="27">
        <f>115</f>
        <v>115</v>
      </c>
      <c r="F249" s="27">
        <v>0</v>
      </c>
      <c r="G249" s="27">
        <v>0</v>
      </c>
      <c r="H249" s="27"/>
    </row>
    <row r="250" spans="1:8" ht="15" customHeight="1" x14ac:dyDescent="0.2">
      <c r="A250" s="28"/>
      <c r="B250" s="28" t="s">
        <v>450</v>
      </c>
      <c r="C250" s="27">
        <f t="shared" si="3"/>
        <v>115</v>
      </c>
      <c r="D250" s="27">
        <v>0</v>
      </c>
      <c r="E250" s="27">
        <f>115</f>
        <v>115</v>
      </c>
      <c r="F250" s="27">
        <v>0</v>
      </c>
      <c r="G250" s="27">
        <v>0</v>
      </c>
      <c r="H250" s="27"/>
    </row>
    <row r="251" spans="1:8" ht="15" customHeight="1" x14ac:dyDescent="0.2">
      <c r="A251" s="28"/>
      <c r="B251" s="28" t="s">
        <v>459</v>
      </c>
      <c r="C251" s="27">
        <f t="shared" si="3"/>
        <v>115</v>
      </c>
      <c r="D251" s="27">
        <v>0</v>
      </c>
      <c r="E251" s="27">
        <f>115</f>
        <v>115</v>
      </c>
      <c r="F251" s="27">
        <v>0</v>
      </c>
      <c r="G251" s="27">
        <v>0</v>
      </c>
      <c r="H251" s="27"/>
    </row>
    <row r="252" spans="1:8" ht="15" customHeight="1" x14ac:dyDescent="0.2">
      <c r="A252" s="28"/>
      <c r="B252" s="28" t="s">
        <v>394</v>
      </c>
      <c r="C252" s="27">
        <f t="shared" si="3"/>
        <v>115</v>
      </c>
      <c r="D252" s="27">
        <f>115</f>
        <v>115</v>
      </c>
      <c r="E252" s="27">
        <v>0</v>
      </c>
      <c r="F252" s="27">
        <v>0</v>
      </c>
      <c r="G252" s="27">
        <v>0</v>
      </c>
      <c r="H252" s="27"/>
    </row>
    <row r="253" spans="1:8" ht="15" customHeight="1" x14ac:dyDescent="0.2">
      <c r="A253" s="28"/>
      <c r="B253" s="28" t="s">
        <v>478</v>
      </c>
      <c r="C253" s="27">
        <f t="shared" si="3"/>
        <v>115</v>
      </c>
      <c r="D253" s="27">
        <v>0</v>
      </c>
      <c r="E253" s="27">
        <f>115</f>
        <v>115</v>
      </c>
      <c r="F253" s="27">
        <v>0</v>
      </c>
      <c r="G253" s="27">
        <v>0</v>
      </c>
      <c r="H253" s="27"/>
    </row>
    <row r="254" spans="1:8" ht="15" customHeight="1" x14ac:dyDescent="0.2">
      <c r="A254" s="28"/>
      <c r="B254" s="28" t="s">
        <v>562</v>
      </c>
      <c r="C254" s="27">
        <f t="shared" si="3"/>
        <v>115</v>
      </c>
      <c r="D254" s="27">
        <v>0</v>
      </c>
      <c r="E254" s="27">
        <v>0</v>
      </c>
      <c r="F254" s="27">
        <v>0</v>
      </c>
      <c r="G254" s="27">
        <f>115</f>
        <v>115</v>
      </c>
      <c r="H254" s="27"/>
    </row>
    <row r="255" spans="1:8" ht="15" customHeight="1" x14ac:dyDescent="0.2">
      <c r="A255" s="28"/>
      <c r="B255" s="28" t="s">
        <v>504</v>
      </c>
      <c r="C255" s="27">
        <f t="shared" si="3"/>
        <v>115</v>
      </c>
      <c r="D255" s="27">
        <v>0</v>
      </c>
      <c r="E255" s="27">
        <v>0</v>
      </c>
      <c r="F255" s="27">
        <f>115</f>
        <v>115</v>
      </c>
      <c r="G255" s="27">
        <v>0</v>
      </c>
      <c r="H255" s="27"/>
    </row>
    <row r="256" spans="1:8" ht="15" customHeight="1" x14ac:dyDescent="0.2">
      <c r="A256" s="28"/>
      <c r="B256" s="28" t="s">
        <v>547</v>
      </c>
      <c r="C256" s="27">
        <f t="shared" si="3"/>
        <v>115</v>
      </c>
      <c r="D256" s="27">
        <v>0</v>
      </c>
      <c r="E256" s="27">
        <v>0</v>
      </c>
      <c r="F256" s="27">
        <f>115</f>
        <v>115</v>
      </c>
      <c r="G256" s="27">
        <v>0</v>
      </c>
      <c r="H256" s="27"/>
    </row>
    <row r="257" spans="1:8" ht="15" customHeight="1" x14ac:dyDescent="0.2">
      <c r="A257" s="28"/>
      <c r="B257" s="28" t="s">
        <v>484</v>
      </c>
      <c r="C257" s="27">
        <f t="shared" si="3"/>
        <v>115</v>
      </c>
      <c r="D257" s="27">
        <v>0</v>
      </c>
      <c r="E257" s="27">
        <f>115</f>
        <v>115</v>
      </c>
      <c r="F257" s="27">
        <v>0</v>
      </c>
      <c r="G257" s="27">
        <v>0</v>
      </c>
      <c r="H257" s="27"/>
    </row>
    <row r="258" spans="1:8" ht="13.5" x14ac:dyDescent="0.25">
      <c r="B258" s="26"/>
    </row>
    <row r="259" spans="1:8" ht="15" x14ac:dyDescent="0.25">
      <c r="A259" s="36" t="s">
        <v>359</v>
      </c>
      <c r="B259" s="37"/>
      <c r="C259" s="37"/>
    </row>
    <row r="260" spans="1:8" ht="18.75" customHeight="1" x14ac:dyDescent="0.25">
      <c r="A260" s="34" t="s">
        <v>4</v>
      </c>
      <c r="B260" s="35"/>
      <c r="C260" s="35"/>
      <c r="D260" s="3"/>
      <c r="E260" s="3"/>
      <c r="F260" s="3"/>
      <c r="G260" s="3"/>
      <c r="H260" s="3"/>
    </row>
  </sheetData>
  <sortState ref="A10:G257">
    <sortCondition descending="1" ref="C10:C257"/>
  </sortState>
  <mergeCells count="10">
    <mergeCell ref="A260:C260"/>
    <mergeCell ref="A259:C259"/>
    <mergeCell ref="A1:H1"/>
    <mergeCell ref="A2:H2"/>
    <mergeCell ref="A8:H8"/>
    <mergeCell ref="A3:H3"/>
    <mergeCell ref="A4:H4"/>
    <mergeCell ref="A5:H5"/>
    <mergeCell ref="A7:H7"/>
    <mergeCell ref="A6:H6"/>
  </mergeCells>
  <pageMargins left="0.25" right="0" top="0.25" bottom="0.25" header="0.3" footer="0.3"/>
  <pageSetup paperSize="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33" customHeight="1" x14ac:dyDescent="0.4">
      <c r="A3" s="57" t="s">
        <v>107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50" t="s">
        <v>3</v>
      </c>
      <c r="B51" s="51"/>
      <c r="C51" s="51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52" t="s">
        <v>4</v>
      </c>
      <c r="B52" s="53"/>
      <c r="C52" s="5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54" t="s">
        <v>5</v>
      </c>
      <c r="B53" s="55"/>
      <c r="C53" s="5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33" customHeight="1" x14ac:dyDescent="0.4">
      <c r="A3" s="57" t="s">
        <v>101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50" t="s">
        <v>3</v>
      </c>
      <c r="B52" s="51"/>
      <c r="C52" s="51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52" t="s">
        <v>4</v>
      </c>
      <c r="B53" s="53"/>
      <c r="C53" s="5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54" t="s">
        <v>5</v>
      </c>
      <c r="B54" s="55"/>
      <c r="C54" s="5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45" customHeight="1" x14ac:dyDescent="0.5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33" customHeight="1" x14ac:dyDescent="0.4">
      <c r="A3" s="57" t="s">
        <v>82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6" ht="30" customHeight="1" x14ac:dyDescent="0.4">
      <c r="A5" s="59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6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50" t="s">
        <v>3</v>
      </c>
      <c r="B43" s="51"/>
      <c r="C43" s="51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52" t="s">
        <v>4</v>
      </c>
      <c r="B44" s="53"/>
      <c r="C44" s="5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54" t="s">
        <v>5</v>
      </c>
      <c r="B45" s="55"/>
      <c r="C45" s="5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45" customHeight="1" x14ac:dyDescent="0.5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33" customHeight="1" x14ac:dyDescent="0.4">
      <c r="A3" s="57" t="s">
        <v>48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6" ht="30" customHeight="1" x14ac:dyDescent="0.4">
      <c r="A5" s="59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6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50" t="s">
        <v>3</v>
      </c>
      <c r="B47" s="51"/>
      <c r="C47" s="51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52" t="s">
        <v>4</v>
      </c>
      <c r="B48" s="53"/>
      <c r="C48" s="5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54" t="s">
        <v>5</v>
      </c>
      <c r="B49" s="55"/>
      <c r="C49" s="5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45" customHeight="1" x14ac:dyDescent="0.5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33" customHeight="1" x14ac:dyDescent="0.4">
      <c r="A3" s="57" t="s">
        <v>43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6" ht="30" customHeight="1" x14ac:dyDescent="0.4">
      <c r="A5" s="59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6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50" t="s">
        <v>3</v>
      </c>
      <c r="B48" s="51"/>
      <c r="C48" s="51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52" t="s">
        <v>4</v>
      </c>
      <c r="B49" s="53"/>
      <c r="C49" s="5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54" t="s">
        <v>5</v>
      </c>
      <c r="B50" s="55"/>
      <c r="C50" s="5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40.5" customHeight="1" x14ac:dyDescent="0.4">
      <c r="A3" s="57" t="s">
        <v>326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278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50" t="s">
        <v>3</v>
      </c>
      <c r="B90" s="51"/>
      <c r="C90" s="51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52" t="s">
        <v>4</v>
      </c>
      <c r="B91" s="53"/>
      <c r="C91" s="5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54" t="s">
        <v>5</v>
      </c>
      <c r="B92" s="55"/>
      <c r="C92" s="5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40.5" customHeight="1" x14ac:dyDescent="0.4">
      <c r="A3" s="57" t="s">
        <v>224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50" t="s">
        <v>3</v>
      </c>
      <c r="B67" s="51"/>
      <c r="C67" s="51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52" t="s">
        <v>4</v>
      </c>
      <c r="B68" s="53"/>
      <c r="C68" s="5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54" t="s">
        <v>5</v>
      </c>
      <c r="B69" s="55"/>
      <c r="C69" s="5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40.5" customHeight="1" x14ac:dyDescent="0.4">
      <c r="A3" s="57" t="s">
        <v>177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163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50" t="s">
        <v>3</v>
      </c>
      <c r="B33" s="51"/>
      <c r="C33" s="51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52" t="s">
        <v>4</v>
      </c>
      <c r="B34" s="53"/>
      <c r="C34" s="5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54" t="s">
        <v>5</v>
      </c>
      <c r="B35" s="55"/>
      <c r="C35" s="5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40.5" customHeight="1" x14ac:dyDescent="0.4">
      <c r="A3" s="57" t="s">
        <v>173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163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50" t="s">
        <v>3</v>
      </c>
      <c r="B26" s="51"/>
      <c r="C26" s="51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52" t="s">
        <v>4</v>
      </c>
      <c r="B27" s="53"/>
      <c r="C27" s="5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54" t="s">
        <v>5</v>
      </c>
      <c r="B28" s="55"/>
      <c r="C28" s="5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40.5" customHeight="1" x14ac:dyDescent="0.4">
      <c r="A3" s="57" t="s">
        <v>168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163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50" t="s">
        <v>3</v>
      </c>
      <c r="B28" s="51"/>
      <c r="C28" s="51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52" t="s">
        <v>4</v>
      </c>
      <c r="B29" s="53"/>
      <c r="C29" s="5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54" t="s">
        <v>5</v>
      </c>
      <c r="B30" s="55"/>
      <c r="C30" s="5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40.5" customHeight="1" x14ac:dyDescent="0.4">
      <c r="A3" s="57" t="s">
        <v>160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50" t="s">
        <v>3</v>
      </c>
      <c r="B38" s="51"/>
      <c r="C38" s="51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52" t="s">
        <v>4</v>
      </c>
      <c r="B39" s="53"/>
      <c r="C39" s="5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54" t="s">
        <v>5</v>
      </c>
      <c r="B40" s="55"/>
      <c r="C40" s="5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40.5" customHeight="1" x14ac:dyDescent="0.4">
      <c r="A3" s="57" t="s">
        <v>156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50" t="s">
        <v>3</v>
      </c>
      <c r="B44" s="51"/>
      <c r="C44" s="51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52" t="s">
        <v>4</v>
      </c>
      <c r="B45" s="53"/>
      <c r="C45" s="5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54" t="s">
        <v>5</v>
      </c>
      <c r="B46" s="55"/>
      <c r="C46" s="5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45" customHeight="1" x14ac:dyDescent="0.5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33" customHeight="1" x14ac:dyDescent="0.4">
      <c r="A3" s="57" t="s">
        <v>135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9.75" customHeight="1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30" customHeight="1" x14ac:dyDescent="0.4">
      <c r="A5" s="59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6.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50" t="s">
        <v>3</v>
      </c>
      <c r="B48" s="51"/>
      <c r="C48" s="51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52" t="s">
        <v>4</v>
      </c>
      <c r="B49" s="53"/>
      <c r="C49" s="5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54" t="s">
        <v>5</v>
      </c>
      <c r="B50" s="55"/>
      <c r="C50" s="5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</row>
    <row r="63" spans="1:15" x14ac:dyDescent="0.2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</row>
    <row r="64" spans="1:15" ht="36" customHeight="1" x14ac:dyDescent="0.5">
      <c r="A64" s="66" t="s">
        <v>17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</row>
    <row r="65" spans="1:15" ht="38.25" customHeight="1" x14ac:dyDescent="0.4">
      <c r="A65" s="68" t="s">
        <v>139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</row>
    <row r="66" spans="1:15" ht="42" customHeight="1" x14ac:dyDescent="0.4">
      <c r="A66" s="70" t="s">
        <v>145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</row>
    <row r="67" spans="1:15" ht="42" customHeight="1" x14ac:dyDescent="0.4">
      <c r="A67" s="63" t="s">
        <v>140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</row>
    <row r="68" spans="1:15" ht="21" customHeight="1" x14ac:dyDescent="0.4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34" t="s">
        <v>4</v>
      </c>
      <c r="B83" s="35"/>
      <c r="C83" s="35"/>
      <c r="D83" s="35"/>
    </row>
    <row r="84" spans="1:7" ht="15" x14ac:dyDescent="0.25">
      <c r="A84" s="61" t="s">
        <v>144</v>
      </c>
      <c r="B84" s="62"/>
      <c r="C84" s="62"/>
      <c r="D84" s="62"/>
    </row>
  </sheetData>
  <mergeCells count="17">
    <mergeCell ref="A83:D83"/>
    <mergeCell ref="A84:D84"/>
    <mergeCell ref="A67:O67"/>
    <mergeCell ref="A68:O68"/>
    <mergeCell ref="A62:O63"/>
    <mergeCell ref="A64:O64"/>
    <mergeCell ref="A65:O65"/>
    <mergeCell ref="A66:O66"/>
    <mergeCell ref="A48:C48"/>
    <mergeCell ref="A49:C49"/>
    <mergeCell ref="A50:C5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6-23-26 - 10-5-26 (20 Year)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'6-23-26 - 10-5-26 (20 Year)'!Print_Area</vt:lpstr>
      <vt:lpstr>'6-4-23 - 9-10-23 (17 month)'!Print_Area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2026-06-24T10:16:49Z</cp:lastPrinted>
  <dcterms:created xsi:type="dcterms:W3CDTF">2013-12-12T05:08:35Z</dcterms:created>
  <dcterms:modified xsi:type="dcterms:W3CDTF">2026-09-09T07:54:26Z</dcterms:modified>
</cp:coreProperties>
</file>