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9-7-25 - 11-23-25 (2 quarter)" sheetId="62" r:id="rId1"/>
    <sheet name="6-15-25 - 9-2-25 (1 quarter)" sheetId="61" state="hidden" r:id="rId2"/>
    <sheet name="12-15-24 - 3-16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'12-15-24 - 3-16-25 (1 quarter)'!$A$1:$O$69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4">'5-4-24 - 7-20-24 (2 quarter)'!$A$1:$O$28</definedName>
    <definedName name="_xlnm.Print_Area" localSheetId="1">'6-15-25 - 9-2-25 (1 quarter)'!$A$1:$O$92</definedName>
    <definedName name="_xlnm.Print_Area" localSheetId="6">'6-4-23 - 9-10-23 (17 month)'!$A$1:$O$40</definedName>
    <definedName name="_xlnm.Print_Area" localSheetId="3">'7-27-24 - 10-12-24 (3 quarter)'!$A$1:$O$35</definedName>
    <definedName name="_xlnm.Print_Area" localSheetId="0">'9-7-25 - 11-23-25 (2 quarter)'!$A$1:$O$38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62" l="1"/>
  <c r="C34" i="62"/>
  <c r="E15" i="62"/>
  <c r="E30" i="62"/>
  <c r="C30" i="62"/>
  <c r="E29" i="62"/>
  <c r="C29" i="62"/>
  <c r="E26" i="62"/>
  <c r="C26" i="62"/>
  <c r="E25" i="62"/>
  <c r="C25" i="62"/>
  <c r="E23" i="62"/>
  <c r="E17" i="62"/>
  <c r="C17" i="62"/>
  <c r="E22" i="62"/>
  <c r="C22" i="62" s="1"/>
  <c r="E10" i="62"/>
  <c r="E18" i="62"/>
  <c r="C18" i="62"/>
  <c r="C23" i="62"/>
  <c r="E13" i="62"/>
  <c r="C16" i="62"/>
  <c r="E12" i="62"/>
  <c r="C12" i="62"/>
  <c r="E8" i="62"/>
  <c r="C8" i="62" l="1"/>
  <c r="C11" i="62"/>
  <c r="C21" i="62"/>
  <c r="C9" i="62"/>
  <c r="C31" i="62"/>
  <c r="C28" i="62"/>
  <c r="C19" i="62"/>
  <c r="C14" i="62"/>
  <c r="C20" i="62"/>
  <c r="C33" i="62"/>
  <c r="C32" i="62"/>
  <c r="C15" i="62"/>
  <c r="C27" i="62"/>
  <c r="C13" i="62"/>
  <c r="C24" i="62"/>
  <c r="C10" i="62"/>
  <c r="O13" i="61" l="1"/>
  <c r="O8" i="61"/>
  <c r="O22" i="61" l="1"/>
  <c r="O28" i="61"/>
  <c r="O30" i="61"/>
  <c r="O52" i="61"/>
  <c r="O38" i="61"/>
  <c r="O10" i="61"/>
  <c r="O16" i="61"/>
  <c r="O9" i="61"/>
  <c r="O25" i="61"/>
  <c r="C63" i="61"/>
  <c r="C53" i="61"/>
  <c r="O14" i="61"/>
  <c r="O18" i="61" l="1"/>
  <c r="O19" i="61"/>
  <c r="O29" i="61"/>
  <c r="O59" i="61"/>
  <c r="O44" i="61"/>
  <c r="O17" i="61"/>
  <c r="O12" i="61"/>
  <c r="O27" i="61"/>
  <c r="N22" i="61" l="1"/>
  <c r="C59" i="61"/>
  <c r="N16" i="61"/>
  <c r="N9" i="61"/>
  <c r="C52" i="61"/>
  <c r="N10" i="61"/>
  <c r="C44" i="61"/>
  <c r="N8" i="61"/>
  <c r="N13" i="61"/>
  <c r="N12" i="61"/>
  <c r="N20" i="61"/>
  <c r="O15" i="61" l="1"/>
  <c r="O36" i="61"/>
  <c r="O20" i="61"/>
  <c r="O11" i="61"/>
  <c r="O39" i="61"/>
  <c r="N85" i="61" l="1"/>
  <c r="C85" i="61" s="1"/>
  <c r="N14" i="61"/>
  <c r="N69" i="61"/>
  <c r="C69" i="61"/>
  <c r="N70" i="61"/>
  <c r="N15" i="61"/>
  <c r="N32" i="61"/>
  <c r="N36" i="61"/>
  <c r="N11" i="61"/>
  <c r="M35" i="61" l="1"/>
  <c r="M14" i="61"/>
  <c r="M23" i="61"/>
  <c r="M12" i="61"/>
  <c r="L26" i="61"/>
  <c r="M13" i="61"/>
  <c r="M22" i="61"/>
  <c r="M9" i="61"/>
  <c r="M8" i="61"/>
  <c r="M16" i="61"/>
  <c r="M24" i="61" l="1"/>
  <c r="M32" i="61"/>
  <c r="C71" i="61"/>
  <c r="M62" i="61"/>
  <c r="C62" i="61"/>
  <c r="M56" i="61"/>
  <c r="C56" i="61"/>
  <c r="M20" i="61"/>
  <c r="L19" i="61"/>
  <c r="L9" i="61"/>
  <c r="C36" i="61"/>
  <c r="L54" i="61"/>
  <c r="L11" i="61"/>
  <c r="L25" i="61"/>
  <c r="L12" i="61"/>
  <c r="L15" i="61"/>
  <c r="L51" i="61"/>
  <c r="C51" i="61" s="1"/>
  <c r="L10" i="61"/>
  <c r="L14" i="61"/>
  <c r="L17" i="61"/>
  <c r="L8" i="61"/>
  <c r="L28" i="61"/>
  <c r="L18" i="61"/>
  <c r="L22" i="61"/>
  <c r="L47" i="61"/>
  <c r="C47" i="61"/>
  <c r="L23" i="61"/>
  <c r="C54" i="61"/>
  <c r="L68" i="61"/>
  <c r="C68" i="61"/>
  <c r="L32" i="61"/>
  <c r="L35" i="61"/>
  <c r="C35" i="61" s="1"/>
  <c r="K13" i="61" l="1"/>
  <c r="C82" i="61"/>
  <c r="K18" i="61"/>
  <c r="K12" i="61"/>
  <c r="K16" i="61"/>
  <c r="K10" i="61"/>
  <c r="K15" i="61"/>
  <c r="K8" i="61"/>
  <c r="K11" i="61"/>
  <c r="K24" i="61"/>
  <c r="K28" i="61" l="1"/>
  <c r="K86" i="61"/>
  <c r="C86" i="61" s="1"/>
  <c r="K32" i="61"/>
  <c r="C32" i="61" s="1"/>
  <c r="K20" i="61"/>
  <c r="K50" i="61"/>
  <c r="J15" i="61"/>
  <c r="C50" i="61"/>
  <c r="J16" i="61"/>
  <c r="C84" i="61"/>
  <c r="J46" i="61"/>
  <c r="J13" i="61"/>
  <c r="J8" i="61"/>
  <c r="J12" i="61"/>
  <c r="J28" i="61"/>
  <c r="J14" i="61"/>
  <c r="J11" i="61"/>
  <c r="J61" i="61"/>
  <c r="C61" i="61"/>
  <c r="J57" i="61"/>
  <c r="C57" i="61" s="1"/>
  <c r="J20" i="61"/>
  <c r="C20" i="61" s="1"/>
  <c r="J45" i="61"/>
  <c r="C45" i="61"/>
  <c r="J70" i="61"/>
  <c r="C70" i="61"/>
  <c r="J33" i="61"/>
  <c r="C46" i="61"/>
  <c r="J18" i="61"/>
  <c r="J10" i="61"/>
  <c r="J22" i="61"/>
  <c r="J49" i="61"/>
  <c r="C49" i="61" s="1"/>
  <c r="I16" i="61"/>
  <c r="I40" i="61"/>
  <c r="C81" i="61"/>
  <c r="I14" i="61"/>
  <c r="I10" i="61"/>
  <c r="C30" i="61"/>
  <c r="I34" i="61"/>
  <c r="C66" i="61"/>
  <c r="I21" i="61"/>
  <c r="I18" i="61"/>
  <c r="I12" i="61"/>
  <c r="I9" i="61"/>
  <c r="I22" i="61" l="1"/>
  <c r="I15" i="61"/>
  <c r="C31" i="61"/>
  <c r="C12" i="61"/>
  <c r="C14" i="61"/>
  <c r="I23" i="61"/>
  <c r="I8" i="61"/>
  <c r="C58" i="61"/>
  <c r="I13" i="61"/>
  <c r="C38" i="61" l="1"/>
  <c r="H10" i="61"/>
  <c r="H15" i="61"/>
  <c r="H9" i="61"/>
  <c r="H23" i="61"/>
  <c r="H8" i="61"/>
  <c r="H24" i="61"/>
  <c r="H16" i="61"/>
  <c r="H11" i="61"/>
  <c r="H21" i="61"/>
  <c r="H18" i="61"/>
  <c r="H22" i="61" l="1"/>
  <c r="C22" i="61" s="1"/>
  <c r="H17" i="61"/>
  <c r="H40" i="61"/>
  <c r="C40" i="61" s="1"/>
  <c r="H28" i="61"/>
  <c r="C28" i="61" s="1"/>
  <c r="H33" i="61"/>
  <c r="H27" i="61"/>
  <c r="G29" i="61"/>
  <c r="C29" i="61" s="1"/>
  <c r="C18" i="61"/>
  <c r="C16" i="61"/>
  <c r="G13" i="61"/>
  <c r="C76" i="61"/>
  <c r="C25" i="61"/>
  <c r="C19" i="61"/>
  <c r="C55" i="61"/>
  <c r="G60" i="61"/>
  <c r="G79" i="61"/>
  <c r="C79" i="61"/>
  <c r="G77" i="61"/>
  <c r="C77" i="61" s="1"/>
  <c r="G42" i="61"/>
  <c r="G8" i="61"/>
  <c r="G73" i="61"/>
  <c r="C73" i="61" s="1"/>
  <c r="G43" i="61"/>
  <c r="G67" i="61"/>
  <c r="C67" i="61" s="1"/>
  <c r="G64" i="61"/>
  <c r="C64" i="61" s="1"/>
  <c r="G39" i="61"/>
  <c r="C39" i="61" s="1"/>
  <c r="G27" i="61"/>
  <c r="G37" i="61"/>
  <c r="G17" i="61"/>
  <c r="C17" i="61" s="1"/>
  <c r="C88" i="61"/>
  <c r="C80" i="61"/>
  <c r="C11" i="61"/>
  <c r="C15" i="61"/>
  <c r="C75" i="61"/>
  <c r="C60" i="61"/>
  <c r="C72" i="61"/>
  <c r="C43" i="61"/>
  <c r="C26" i="61"/>
  <c r="C27" i="61" l="1"/>
  <c r="C24" i="61"/>
  <c r="C65" i="61"/>
  <c r="C42" i="61"/>
  <c r="C87" i="61" l="1"/>
  <c r="C83" i="61"/>
  <c r="C78" i="61"/>
  <c r="C41" i="61"/>
  <c r="C13" i="61"/>
  <c r="C37" i="61"/>
  <c r="C48" i="61" l="1"/>
  <c r="C8" i="61" l="1"/>
  <c r="C74" i="61"/>
  <c r="C21" i="61"/>
  <c r="C33" i="61"/>
  <c r="C9" i="61" l="1"/>
  <c r="C34" i="61"/>
  <c r="C10" i="61"/>
  <c r="C23" i="61"/>
  <c r="C65" i="60" l="1"/>
  <c r="C60" i="60"/>
  <c r="C52" i="60"/>
  <c r="C46" i="60"/>
  <c r="C26" i="60"/>
  <c r="C27" i="60"/>
  <c r="C32" i="60" l="1"/>
  <c r="C58" i="60"/>
  <c r="C21" i="60"/>
  <c r="C41" i="60"/>
  <c r="C53" i="60"/>
  <c r="C42" i="60"/>
  <c r="C39" i="60"/>
  <c r="C24" i="60"/>
  <c r="C45" i="60" l="1"/>
  <c r="C22" i="60"/>
  <c r="C16" i="60"/>
  <c r="C30" i="60"/>
  <c r="C51" i="60"/>
  <c r="C37" i="60" l="1"/>
  <c r="C40" i="60"/>
  <c r="C62" i="60"/>
  <c r="C43" i="60"/>
  <c r="C28" i="60"/>
  <c r="C35" i="60"/>
  <c r="C33" i="60"/>
  <c r="C50" i="60" l="1"/>
  <c r="C54" i="60" l="1"/>
  <c r="C9" i="60"/>
  <c r="C49" i="60"/>
  <c r="C44" i="60"/>
  <c r="C64" i="60" l="1"/>
  <c r="C63" i="60"/>
  <c r="C61" i="60"/>
  <c r="C59" i="60"/>
  <c r="C57" i="60"/>
  <c r="C20" i="60"/>
  <c r="C25" i="60"/>
  <c r="C10" i="60"/>
  <c r="C36" i="60"/>
  <c r="C56" i="60" l="1"/>
  <c r="C15" i="60"/>
  <c r="C48" i="60"/>
  <c r="C12" i="60"/>
  <c r="C47" i="60" l="1"/>
  <c r="C23" i="60"/>
  <c r="C17" i="60"/>
  <c r="C29" i="60"/>
  <c r="C55" i="60" l="1"/>
  <c r="C11" i="60"/>
  <c r="C34" i="60"/>
  <c r="C14" i="60"/>
  <c r="C18" i="60"/>
  <c r="C19" i="60"/>
  <c r="C8" i="60"/>
  <c r="C38" i="60"/>
  <c r="C13" i="60"/>
  <c r="C31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<sst xmlns="http://schemas.openxmlformats.org/spreadsheetml/2006/main" count="692" uniqueCount="351">
  <si>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</si>
  <si>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</si>
  <si>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</si>
  <si>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</si>
  <si>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</si>
  <si>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</si>
  <si>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</si>
  <si>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</si>
  <si>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</si>
  <si>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</si>
  <si>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</si>
  <si>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</si>
  <si>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</si>
  <si>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</si>
  <si>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</si>
  <si>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</si>
  <si>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</si>
  <si>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</si>
  <si>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</si>
  <si>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</si>
  <si>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</si>
  <si>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</si>
  <si>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</si>
  <si>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</si>
  <si>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</si>
  <si>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</si>
  <si>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</si>
  <si>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</si>
  <si>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</si>
  <si>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</si>
  <si>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</si>
  <si>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</si>
  <si>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</si>
  <si>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</si>
  <si>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</si>
  <si>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</si>
  <si>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</si>
  <si>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</si>
  <si>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</si>
  <si>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</si>
  <si>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</si>
  <si>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</si>
  <si>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</si>
  <si>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</si>
  <si>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</si>
  <si>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</si>
  <si>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</si>
  <si>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</si>
  <si>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</si>
  <si>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</si>
  <si>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</si>
  <si>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</si>
  <si>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</si>
  <si>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</si>
  <si>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</si>
  <si>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</si>
  <si>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</si>
  <si>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</si>
  <si>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</si>
  <si>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</si>
  <si>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</si>
  <si>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</si>
  <si>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</si>
  <si>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</si>
  <si>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</si>
  <si>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</si>
  <si>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</si>
  <si>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</si>
  <si>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</si>
  <si>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</si>
  <si>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</si>
  <si>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</si>
  <si>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</si>
  <si>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</si>
  <si>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</si>
  <si>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</si>
  <si>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</si>
  <si>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</si>
  <si>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</si>
  <si>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</si>
  <si>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</si>
  <si>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</si>
  <si>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</si>
  <si>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</si>
  <si>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</si>
  <si>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</si>
  <si>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</si>
  <si>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</si>
  <si>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</si>
  <si>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</si>
  <si>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</si>
  <si>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</si>
  <si>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</si>
  <si>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</si>
  <si>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</si>
  <si>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</si>
  <si>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</si>
  <si>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</si>
  <si>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</si>
  <si>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</si>
  <si>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</si>
  <si>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</si>
  <si>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</si>
  <si>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</si>
  <si>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</si>
  <si>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</si>
  <si>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</si>
  <si>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</si>
  <si>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</si>
  <si>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</si>
  <si>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</si>
  <si>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</si>
  <si>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</si>
  <si>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</si>
  <si>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</si>
  <si>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</si>
  <si>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</si>
  <si>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</si>
  <si>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</si>
  <si>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</si>
  <si>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</si>
  <si>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</si>
  <si>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</si>
  <si>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</si>
  <si>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</si>
  <si>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</si>
  <si>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</si>
  <si>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</si>
  <si>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</si>
  <si>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</si>
  <si>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</si>
  <si>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</si>
  <si>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</si>
  <si>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</si>
  <si>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</si>
  <si>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</si>
  <si>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</si>
  <si>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</si>
  <si>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</si>
  <si>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</si>
  <si>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</si>
  <si>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</si>
  <si>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</si>
  <si>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</si>
  <si>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</si>
  <si>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</si>
  <si>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</si>
  <si>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</si>
  <si>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</si>
  <si>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</si>
  <si>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</si>
  <si>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</si>
  <si>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</si>
  <si>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</si>
  <si>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</si>
  <si>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</si>
  <si>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</si>
  <si>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</si>
  <si>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</si>
  <si>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</si>
  <si>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</si>
  <si>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</si>
  <si>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</si>
  <si>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</si>
  <si>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</si>
  <si>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</si>
  <si>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</si>
  <si>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</si>
  <si>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</si>
  <si>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</si>
  <si>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</si>
  <si>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</si>
  <si>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</si>
  <si>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</si>
  <si>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</si>
  <si>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</si>
  <si>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</si>
  <si>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</si>
  <si>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</si>
  <si>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</si>
  <si>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</si>
  <si>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</si>
  <si>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</si>
  <si>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</si>
  <si>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</si>
  <si>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</si>
  <si>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</si>
  <si>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</si>
  <si>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</si>
  <si>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</si>
  <si>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</si>
  <si>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</si>
  <si>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</si>
  <si>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</si>
  <si>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</si>
  <si>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Mayberry, Don</t>
  </si>
  <si>
    <t>Romero, Zeke</t>
  </si>
  <si>
    <t>Bunce, Newton</t>
  </si>
  <si>
    <t>Estes, Kaitlan</t>
  </si>
  <si>
    <t>Roy, Sam</t>
  </si>
  <si>
    <t>Frank, Sam</t>
  </si>
  <si>
    <t>Link, Chris</t>
  </si>
  <si>
    <t>Rasor, Dan</t>
  </si>
  <si>
    <t>Quintana, Brian</t>
  </si>
  <si>
    <t>Brumfield, Nicholas</t>
  </si>
  <si>
    <t>Jackson, Quante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</si>
  <si>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</si>
  <si>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</si>
  <si>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</si>
  <si>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</si>
  <si>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</si>
  <si>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</si>
  <si>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</si>
  <si>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</si>
  <si>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</si>
  <si>
    <t>Davis, Jaz</t>
  </si>
  <si>
    <t>Arnold, Jerry</t>
  </si>
  <si>
    <t>Nielsen, Soren</t>
  </si>
  <si>
    <t>Muro, Beatriz</t>
  </si>
  <si>
    <t>Davis, Dana</t>
  </si>
  <si>
    <t>Jones, Dominque</t>
  </si>
  <si>
    <t>Yu, Ben</t>
  </si>
  <si>
    <t>Dewberry, James</t>
  </si>
  <si>
    <t>Padilla, Axel</t>
  </si>
  <si>
    <t>QUARTERLY EVENT:  SUNDAY 3/23/25</t>
  </si>
  <si>
    <t>LOS AMIGO'S SPORTS BAR + BITES (PLANO)</t>
  </si>
  <si>
    <t>Pineda, David</t>
  </si>
  <si>
    <t>Pineda, Monica</t>
  </si>
  <si>
    <t>Zarate, Michael</t>
  </si>
  <si>
    <t>Mora, Freddy</t>
  </si>
  <si>
    <t>Miller, Wesley</t>
  </si>
  <si>
    <t>Fullilove, Jerrel</t>
  </si>
  <si>
    <t>Christman, Derek</t>
  </si>
  <si>
    <t>Gundy, Steve</t>
  </si>
  <si>
    <t>Tanner, Sharon</t>
  </si>
  <si>
    <t>Ryan, Lindsey</t>
  </si>
  <si>
    <t>Woods, John</t>
  </si>
  <si>
    <t>Blakely, Quincy</t>
  </si>
  <si>
    <t>Mullins, Jade</t>
  </si>
  <si>
    <t>Bernet, Larry</t>
  </si>
  <si>
    <t>Campos, Gino</t>
  </si>
  <si>
    <t>Dodd, Logan</t>
  </si>
  <si>
    <t>Randle, Frederick</t>
  </si>
  <si>
    <t>McBride, Lakeidra</t>
  </si>
  <si>
    <t>Becker, Christi</t>
  </si>
  <si>
    <t>Becker, Randy</t>
  </si>
  <si>
    <t>Mauge, Harry</t>
  </si>
  <si>
    <t>ALUMNI SPORTS BAR &amp; GRILL</t>
  </si>
  <si>
    <t>Vela, Meredith</t>
  </si>
  <si>
    <t>Vela, Michael</t>
  </si>
  <si>
    <t>Mhoon, Kevin</t>
  </si>
  <si>
    <t>Ramos, David</t>
  </si>
  <si>
    <t>Bryant, Jennifer</t>
  </si>
  <si>
    <t>Golucke, Brenden</t>
  </si>
  <si>
    <t>Silva, Daniel</t>
  </si>
  <si>
    <t>Istel, Don</t>
  </si>
  <si>
    <t>VanOstran, Douglas</t>
  </si>
  <si>
    <t>Watson, Chris</t>
  </si>
  <si>
    <t>Furlow, Steven</t>
  </si>
  <si>
    <t>Brannon, Joe</t>
  </si>
  <si>
    <t>Oliver, Melissa</t>
  </si>
  <si>
    <t>Martin, Lindy</t>
  </si>
  <si>
    <t>Martin, Alaina</t>
  </si>
  <si>
    <t>Estrada, Tony</t>
  </si>
  <si>
    <t>Martin, Les</t>
  </si>
  <si>
    <t>Howey, Debbie</t>
  </si>
  <si>
    <t>Howey, Raymond</t>
  </si>
  <si>
    <t>Cross, Jeremy</t>
  </si>
  <si>
    <t>Ross, David</t>
  </si>
  <si>
    <t>Kearnes, Bill</t>
  </si>
  <si>
    <t>7/1-7/6</t>
  </si>
  <si>
    <t>7/8-7/13</t>
  </si>
  <si>
    <t>7/15-7/20</t>
  </si>
  <si>
    <t>7/22-7/27</t>
  </si>
  <si>
    <t>7/29-8/3</t>
  </si>
  <si>
    <t>8/5-8/10</t>
  </si>
  <si>
    <t>8/12-8/17</t>
  </si>
  <si>
    <t>8/19-8/24</t>
  </si>
  <si>
    <t>$410 CASH PRIZE</t>
  </si>
  <si>
    <t>Fair, Eddie</t>
  </si>
  <si>
    <t>Harrison, Michael</t>
  </si>
  <si>
    <t>Brown, Casey</t>
  </si>
  <si>
    <t>Linscome, James</t>
  </si>
  <si>
    <t>Roy, Abel</t>
  </si>
  <si>
    <t>Magbee, Jared</t>
  </si>
  <si>
    <t>Sneed, Dustyn</t>
  </si>
  <si>
    <t>Oliver, Barry</t>
  </si>
  <si>
    <t>Caserotti, John</t>
  </si>
  <si>
    <t>Broussard, Brad</t>
  </si>
  <si>
    <t>Lynn, Ryan</t>
  </si>
  <si>
    <t>Bremer, Demetra</t>
  </si>
  <si>
    <t>Bremer, Manny</t>
  </si>
  <si>
    <t>Cook, Tim</t>
  </si>
  <si>
    <t>King, Brad</t>
  </si>
  <si>
    <t>Kellum, Jimmy</t>
  </si>
  <si>
    <t>Vrbnjak, Sanjin</t>
  </si>
  <si>
    <t>Higgs, Nick</t>
  </si>
  <si>
    <t>Degroote, Scott</t>
  </si>
  <si>
    <t>Whitman, Cody</t>
  </si>
  <si>
    <t>Garman, Watson</t>
  </si>
  <si>
    <t>Davis, Chris</t>
  </si>
  <si>
    <t>Davis, Brenda</t>
  </si>
  <si>
    <t>Simmons, Kevin</t>
  </si>
  <si>
    <t>Durham, Jay</t>
  </si>
  <si>
    <t>Johnson, Kristen</t>
  </si>
  <si>
    <t>Quirones, Deangelo</t>
  </si>
  <si>
    <t>Humphrey, Brynden</t>
  </si>
  <si>
    <t>Hill, Karson</t>
  </si>
  <si>
    <t>Robbins, Jessica</t>
  </si>
  <si>
    <t>Starkey, Jan</t>
  </si>
  <si>
    <t>Koonce, Jeremy</t>
  </si>
  <si>
    <t>Starkey, David</t>
  </si>
  <si>
    <t>Franke, Michelle</t>
  </si>
  <si>
    <t>Benavides, Paul</t>
  </si>
  <si>
    <t>Melendez, Richard</t>
  </si>
  <si>
    <t>Elkins, Brad</t>
  </si>
  <si>
    <t>Martin, Karen</t>
  </si>
  <si>
    <t>Hayes, Brian</t>
  </si>
  <si>
    <t>Davidson, Brenda</t>
  </si>
  <si>
    <t>Hayes, Judy</t>
  </si>
  <si>
    <t>Miller, Trent</t>
  </si>
  <si>
    <t>Hardcastle, Jeff</t>
  </si>
  <si>
    <t>Ose, Trever</t>
  </si>
  <si>
    <t>Hudson, Abel</t>
  </si>
  <si>
    <t>Bremer, Holden</t>
  </si>
  <si>
    <t>Munoz, Hector</t>
  </si>
  <si>
    <t>QUARTERLY EVENT:  SUNDAY 9/7/25</t>
  </si>
  <si>
    <t>8/26-9/2</t>
  </si>
  <si>
    <t>Drapalik, Kelly</t>
  </si>
  <si>
    <t>Hayes, Melissa</t>
  </si>
  <si>
    <t>Drapalik, Joe</t>
  </si>
  <si>
    <t>Printz, Wally</t>
  </si>
  <si>
    <t>Thomas, James</t>
  </si>
  <si>
    <t>9/9 - 9/14</t>
  </si>
  <si>
    <t>9/16 - 9/21</t>
  </si>
  <si>
    <t>9/23 - 9/28</t>
  </si>
  <si>
    <t>9/30 - 10/5</t>
  </si>
  <si>
    <t>10/7 - 10/12</t>
  </si>
  <si>
    <t>10/14 - 10/19</t>
  </si>
  <si>
    <t>10/21 - 10/26</t>
  </si>
  <si>
    <t>10/28 - 11/2</t>
  </si>
  <si>
    <t>11/4 - 11/9</t>
  </si>
  <si>
    <t>11/11 - 11/16</t>
  </si>
  <si>
    <t>11/18 - 11/23</t>
  </si>
  <si>
    <t>QUARTERLY EVENT:  TUESDAY 11/25/25</t>
  </si>
  <si>
    <t>$420 CASH PRIZE</t>
  </si>
  <si>
    <t>Becker, Arick</t>
  </si>
  <si>
    <t>Bremer, Missy</t>
  </si>
  <si>
    <t>Bueno, Rickey</t>
  </si>
  <si>
    <t>Bowen, Wade</t>
  </si>
  <si>
    <t>Turner, Chad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</si>
</sst>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4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8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5" fillId="24" borderId="10" xfId="0" applyFont="1" applyFill="1" applyBorder="1" applyAlignment="1">
      <alignment horizontal="center"/>
    </xf>
    <xf numFmtId="164" fontId="35" fillId="24" borderId="10" xfId="0" applyNumberFormat="1" applyFont="1" applyFill="1" applyBorder="1" applyAlignment="1">
      <alignment horizontal="center"/>
    </xf>
    <xf numFmtId="1" fontId="37" fillId="0" borderId="10" xfId="37" applyNumberFormat="1" applyFont="1" applyFill="1" applyBorder="1" applyAlignment="1">
      <alignment horizontal="center" wrapText="1"/>
    </xf>
    <xf numFmtId="0" fontId="36" fillId="26" borderId="10" xfId="0" applyFont="1" applyFill="1" applyBorder="1" applyAlignment="1">
      <alignment horizontal="center" wrapText="1"/>
    </xf>
    <xf numFmtId="1" fontId="37" fillId="26" borderId="10" xfId="37" applyNumberFormat="1" applyFont="1" applyFill="1" applyBorder="1" applyAlignment="1">
      <alignment horizontal="center" wrapText="1"/>
    </xf>
    <xf numFmtId="1" fontId="37" fillId="27" borderId="10" xfId="37" applyNumberFormat="1" applyFont="1" applyFill="1" applyBorder="1" applyAlignment="1">
      <alignment horizontal="center" wrapText="1"/>
    </xf>
    <xf numFmtId="0" fontId="36" fillId="28" borderId="10" xfId="0" applyFont="1" applyFill="1" applyBorder="1" applyAlignment="1">
      <alignment horizontal="center" wrapText="1"/>
    </xf>
    <xf numFmtId="1" fontId="37" fillId="28" borderId="10" xfId="37" applyNumberFormat="1" applyFont="1" applyFill="1" applyBorder="1" applyAlignment="1">
      <alignment horizontal="center" wrapText="1"/>
    </xf>
    <xf numFmtId="0" fontId="36" fillId="0" borderId="10" xfId="0" applyFont="1" applyFill="1" applyBorder="1" applyAlignment="1">
      <alignment horizontal="center" wrapText="1"/>
    </xf>
    <xf numFmtId="0" fontId="38" fillId="24" borderId="10" xfId="0" applyFont="1" applyFill="1" applyBorder="1" applyAlignment="1">
      <alignment horizontal="center"/>
    </xf>
    <xf numFmtId="164" fontId="38" fillId="24" borderId="10" xfId="0" applyNumberFormat="1" applyFont="1" applyFill="1" applyBorder="1" applyAlignment="1">
      <alignment horizontal="center"/>
    </xf>
    <xf numFmtId="1" fontId="40" fillId="0" borderId="10" xfId="37" applyNumberFormat="1" applyFont="1" applyFill="1" applyBorder="1" applyAlignment="1">
      <alignment horizontal="center" wrapText="1"/>
    </xf>
    <xf numFmtId="0" fontId="39" fillId="26" borderId="10" xfId="0" applyFont="1" applyFill="1" applyBorder="1" applyAlignment="1">
      <alignment horizontal="center" wrapText="1"/>
    </xf>
    <xf numFmtId="1" fontId="40" fillId="26" borderId="10" xfId="37" applyNumberFormat="1" applyFont="1" applyFill="1" applyBorder="1" applyAlignment="1">
      <alignment horizontal="center" wrapText="1"/>
    </xf>
    <xf numFmtId="1" fontId="40" fillId="27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249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F8" sqref="F8"/>
    </sheetView>
  </sheetViews>
  <sheetFormatPr defaultRowHeight="12.75" x14ac:dyDescent="0.2"/>
  <cols>
    <col min="1" max="1" width="5.7109375" customWidth="1"/>
    <col min="2" max="2" width="16" customWidth="1"/>
    <col min="3" max="3" width="8" customWidth="1"/>
    <col min="4" max="4" width="6.7109375" customWidth="1"/>
    <col min="5" max="8" width="7.85546875" customWidth="1"/>
    <col min="9" max="15" width="9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247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344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345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" customHeight="1" x14ac:dyDescent="0.25">
      <c r="A7" s="26" t="s">
        <v>1</v>
      </c>
      <c r="B7" s="26" t="s">
        <v>0</v>
      </c>
      <c r="C7" s="26" t="s">
        <v>2</v>
      </c>
      <c r="D7" s="27">
        <v>45907</v>
      </c>
      <c r="E7" s="27" t="s">
        <v>333</v>
      </c>
      <c r="F7" s="27" t="s">
        <v>334</v>
      </c>
      <c r="G7" s="27" t="s">
        <v>335</v>
      </c>
      <c r="H7" s="27" t="s">
        <v>336</v>
      </c>
      <c r="I7" s="27" t="s">
        <v>337</v>
      </c>
      <c r="J7" s="27" t="s">
        <v>338</v>
      </c>
      <c r="K7" s="27" t="s">
        <v>339</v>
      </c>
      <c r="L7" s="27" t="s">
        <v>340</v>
      </c>
      <c r="M7" s="27" t="s">
        <v>341</v>
      </c>
      <c r="N7" s="27" t="s">
        <v>342</v>
      </c>
      <c r="O7" s="27" t="s">
        <v>343</v>
      </c>
    </row>
    <row r="8" spans="1:15" ht="15" customHeight="1" x14ac:dyDescent="0.25">
      <c r="A8" s="29">
        <v>1</v>
      </c>
      <c r="B8" s="29" t="s">
        <v>316</v>
      </c>
      <c r="C8" s="31">
        <f>SUM(D8:O8)</f>
        <v>690</v>
      </c>
      <c r="D8" s="28">
        <v>115</v>
      </c>
      <c r="E8" s="28">
        <f>575</f>
        <v>575</v>
      </c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5" ht="15" customHeight="1" x14ac:dyDescent="0.25">
      <c r="A9" s="29">
        <v>2</v>
      </c>
      <c r="B9" s="29" t="s">
        <v>320</v>
      </c>
      <c r="C9" s="31">
        <f>SUM(D9:O9)</f>
        <v>575</v>
      </c>
      <c r="D9" s="28">
        <v>575</v>
      </c>
      <c r="E9" s="28">
        <v>0</v>
      </c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15" customHeight="1" x14ac:dyDescent="0.25">
      <c r="A10" s="29">
        <v>3</v>
      </c>
      <c r="B10" s="29" t="s">
        <v>248</v>
      </c>
      <c r="C10" s="31">
        <f>SUM(D10:O10)</f>
        <v>550</v>
      </c>
      <c r="D10" s="28">
        <v>225</v>
      </c>
      <c r="E10" s="28">
        <f>325</f>
        <v>325</v>
      </c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ht="15" customHeight="1" x14ac:dyDescent="0.25">
      <c r="A11" s="29">
        <v>4</v>
      </c>
      <c r="B11" s="29" t="s">
        <v>199</v>
      </c>
      <c r="C11" s="31">
        <f>SUM(D11:O11)</f>
        <v>475</v>
      </c>
      <c r="D11" s="28">
        <v>475</v>
      </c>
      <c r="E11" s="28">
        <v>0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spans="1:15" ht="15" customHeight="1" x14ac:dyDescent="0.25">
      <c r="A12" s="29">
        <v>4</v>
      </c>
      <c r="B12" s="29" t="s">
        <v>249</v>
      </c>
      <c r="C12" s="31">
        <f>SUM(D12:O12)</f>
        <v>475</v>
      </c>
      <c r="D12" s="28">
        <v>0</v>
      </c>
      <c r="E12" s="28">
        <f>475</f>
        <v>475</v>
      </c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ht="15" customHeight="1" x14ac:dyDescent="0.25">
      <c r="A13" s="29">
        <v>5</v>
      </c>
      <c r="B13" s="29" t="s">
        <v>346</v>
      </c>
      <c r="C13" s="31">
        <f>SUM(D13:O13)</f>
        <v>425</v>
      </c>
      <c r="D13" s="28">
        <v>0</v>
      </c>
      <c r="E13" s="28">
        <f>425</f>
        <v>425</v>
      </c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ht="15" customHeight="1" x14ac:dyDescent="0.25">
      <c r="A14" s="29">
        <v>5</v>
      </c>
      <c r="B14" s="29" t="s">
        <v>260</v>
      </c>
      <c r="C14" s="31">
        <f>SUM(D14:O14)</f>
        <v>425</v>
      </c>
      <c r="D14" s="28">
        <v>425</v>
      </c>
      <c r="E14" s="28">
        <v>0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ht="15" customHeight="1" x14ac:dyDescent="0.25">
      <c r="A15" s="29">
        <v>6</v>
      </c>
      <c r="B15" s="29" t="s">
        <v>296</v>
      </c>
      <c r="C15" s="31">
        <f>SUM(D15:O15)</f>
        <v>420</v>
      </c>
      <c r="D15" s="28">
        <v>275</v>
      </c>
      <c r="E15" s="28">
        <f>145</f>
        <v>145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</row>
    <row r="16" spans="1:15" ht="15" customHeight="1" x14ac:dyDescent="0.25">
      <c r="A16" s="29">
        <v>7</v>
      </c>
      <c r="B16" s="29" t="s">
        <v>244</v>
      </c>
      <c r="C16" s="31">
        <f>SUM(D16:O16)</f>
        <v>375</v>
      </c>
      <c r="D16" s="28">
        <v>375</v>
      </c>
      <c r="E16" s="28">
        <v>0</v>
      </c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ht="15" customHeight="1" x14ac:dyDescent="0.25">
      <c r="A17" s="29">
        <v>7</v>
      </c>
      <c r="B17" s="29" t="s">
        <v>291</v>
      </c>
      <c r="C17" s="31">
        <f>SUM(D17:O17)</f>
        <v>375</v>
      </c>
      <c r="D17" s="28">
        <v>0</v>
      </c>
      <c r="E17" s="28">
        <f>375</f>
        <v>375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5" customHeight="1" x14ac:dyDescent="0.25">
      <c r="A18" s="29">
        <v>8</v>
      </c>
      <c r="B18" s="29" t="s">
        <v>297</v>
      </c>
      <c r="C18" s="31">
        <f>SUM(D18:O18)</f>
        <v>350</v>
      </c>
      <c r="D18" s="28">
        <v>0</v>
      </c>
      <c r="E18" s="28">
        <f>350</f>
        <v>350</v>
      </c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ht="15" customHeight="1" x14ac:dyDescent="0.25">
      <c r="A19" s="29">
        <v>8</v>
      </c>
      <c r="B19" s="29" t="s">
        <v>279</v>
      </c>
      <c r="C19" s="31">
        <f>SUM(D19:O19)</f>
        <v>350</v>
      </c>
      <c r="D19" s="28">
        <v>350</v>
      </c>
      <c r="E19" s="28">
        <v>0</v>
      </c>
      <c r="F19" s="28"/>
      <c r="G19" s="28"/>
      <c r="H19" s="28"/>
      <c r="I19" s="28"/>
      <c r="J19" s="28"/>
      <c r="K19" s="28"/>
      <c r="L19" s="28"/>
      <c r="M19" s="28"/>
      <c r="N19" s="28"/>
      <c r="O19" s="28"/>
    </row>
    <row r="20" spans="1:15" ht="15" customHeight="1" x14ac:dyDescent="0.25">
      <c r="A20" s="29">
        <v>9</v>
      </c>
      <c r="B20" s="29" t="s">
        <v>317</v>
      </c>
      <c r="C20" s="31">
        <f>SUM(D20:O20)</f>
        <v>325</v>
      </c>
      <c r="D20" s="28">
        <v>325</v>
      </c>
      <c r="E20" s="28">
        <v>0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ht="15" customHeight="1" x14ac:dyDescent="0.25">
      <c r="A21" s="29">
        <v>10</v>
      </c>
      <c r="B21" s="29" t="s">
        <v>319</v>
      </c>
      <c r="C21" s="31">
        <f>SUM(D21:O21)</f>
        <v>300</v>
      </c>
      <c r="D21" s="28">
        <v>300</v>
      </c>
      <c r="E21" s="28">
        <v>0</v>
      </c>
      <c r="F21" s="28"/>
      <c r="G21" s="28"/>
      <c r="H21" s="28"/>
      <c r="I21" s="28"/>
      <c r="J21" s="28"/>
      <c r="K21" s="28"/>
      <c r="L21" s="28"/>
      <c r="M21" s="28"/>
      <c r="N21" s="28"/>
      <c r="O21" s="28"/>
    </row>
    <row r="22" spans="1:15" ht="15" customHeight="1" x14ac:dyDescent="0.25">
      <c r="A22" s="29">
        <v>11</v>
      </c>
      <c r="B22" s="29" t="s">
        <v>347</v>
      </c>
      <c r="C22" s="30">
        <f>SUM(D22:O22)</f>
        <v>275</v>
      </c>
      <c r="D22" s="28">
        <v>0</v>
      </c>
      <c r="E22" s="28">
        <f>275</f>
        <v>275</v>
      </c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ht="15" customHeight="1" x14ac:dyDescent="0.25">
      <c r="A23" s="29">
        <v>12</v>
      </c>
      <c r="B23" s="29" t="s">
        <v>324</v>
      </c>
      <c r="C23" s="30">
        <f>SUM(D23:O23)</f>
        <v>250</v>
      </c>
      <c r="D23" s="28">
        <v>0</v>
      </c>
      <c r="E23" s="28">
        <f>250</f>
        <v>250</v>
      </c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15" customHeight="1" x14ac:dyDescent="0.25">
      <c r="A24" s="29">
        <v>12</v>
      </c>
      <c r="B24" s="29" t="s">
        <v>229</v>
      </c>
      <c r="C24" s="30">
        <f>SUM(D24:O24)</f>
        <v>250</v>
      </c>
      <c r="D24" s="28">
        <v>250</v>
      </c>
      <c r="E24" s="28">
        <v>0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15" customHeight="1" x14ac:dyDescent="0.25">
      <c r="A25" s="29">
        <v>13</v>
      </c>
      <c r="B25" s="29" t="s">
        <v>294</v>
      </c>
      <c r="C25" s="30">
        <f>SUM(D25:O25)</f>
        <v>225</v>
      </c>
      <c r="D25" s="28">
        <v>0</v>
      </c>
      <c r="E25" s="28">
        <f>225</f>
        <v>225</v>
      </c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15" customHeight="1" x14ac:dyDescent="0.25">
      <c r="A26" s="29">
        <v>14</v>
      </c>
      <c r="B26" s="29" t="s">
        <v>348</v>
      </c>
      <c r="C26" s="30">
        <f>SUM(D26:O26)</f>
        <v>200</v>
      </c>
      <c r="D26" s="28">
        <v>0</v>
      </c>
      <c r="E26" s="28">
        <f>200</f>
        <v>200</v>
      </c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5" ht="15" customHeight="1" x14ac:dyDescent="0.25">
      <c r="A27" s="29">
        <v>14</v>
      </c>
      <c r="B27" s="29" t="s">
        <v>266</v>
      </c>
      <c r="C27" s="30">
        <f>SUM(D27:O27)</f>
        <v>200</v>
      </c>
      <c r="D27" s="28">
        <v>200</v>
      </c>
      <c r="E27" s="28"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15" customHeight="1" x14ac:dyDescent="0.25">
      <c r="A28" s="29">
        <v>15</v>
      </c>
      <c r="B28" s="29" t="s">
        <v>300</v>
      </c>
      <c r="C28" s="30">
        <f>SUM(D28:O28)</f>
        <v>175</v>
      </c>
      <c r="D28" s="28">
        <v>175</v>
      </c>
      <c r="E28" s="28">
        <v>0</v>
      </c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ht="15" customHeight="1" x14ac:dyDescent="0.25">
      <c r="A29" s="29">
        <v>15</v>
      </c>
      <c r="B29" s="29" t="s">
        <v>280</v>
      </c>
      <c r="C29" s="30">
        <f>SUM(D29:O29)</f>
        <v>175</v>
      </c>
      <c r="D29" s="28">
        <v>0</v>
      </c>
      <c r="E29" s="28">
        <f>175</f>
        <v>175</v>
      </c>
      <c r="F29" s="28"/>
      <c r="G29" s="28"/>
      <c r="H29" s="28"/>
      <c r="I29" s="28"/>
      <c r="J29" s="28"/>
      <c r="K29" s="28"/>
      <c r="L29" s="28"/>
      <c r="M29" s="28"/>
      <c r="N29" s="28"/>
      <c r="O29" s="28"/>
    </row>
    <row r="30" spans="1:15" ht="15" customHeight="1" x14ac:dyDescent="0.25">
      <c r="A30" s="29">
        <v>16</v>
      </c>
      <c r="B30" s="29" t="s">
        <v>349</v>
      </c>
      <c r="C30" s="30">
        <f>SUM(D30:O30)</f>
        <v>160</v>
      </c>
      <c r="D30" s="28">
        <v>0</v>
      </c>
      <c r="E30" s="28">
        <f>160</f>
        <v>160</v>
      </c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ht="15" customHeight="1" x14ac:dyDescent="0.25">
      <c r="A31" s="29">
        <v>16</v>
      </c>
      <c r="B31" s="29" t="s">
        <v>257</v>
      </c>
      <c r="C31" s="30">
        <f>SUM(D31:O31)</f>
        <v>160</v>
      </c>
      <c r="D31" s="28">
        <v>160</v>
      </c>
      <c r="E31" s="28">
        <v>0</v>
      </c>
      <c r="F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15" ht="15" customHeight="1" x14ac:dyDescent="0.25">
      <c r="A32" s="29">
        <v>17</v>
      </c>
      <c r="B32" s="29" t="s">
        <v>288</v>
      </c>
      <c r="C32" s="30">
        <f>SUM(D32:O32)</f>
        <v>145</v>
      </c>
      <c r="D32" s="28">
        <v>145</v>
      </c>
      <c r="E32" s="28">
        <v>0</v>
      </c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ht="15" customHeight="1" x14ac:dyDescent="0.25">
      <c r="A33" s="29">
        <v>18</v>
      </c>
      <c r="B33" s="29" t="s">
        <v>303</v>
      </c>
      <c r="C33" s="30">
        <f>SUM(D33:O33)</f>
        <v>130</v>
      </c>
      <c r="D33" s="28">
        <v>130</v>
      </c>
      <c r="E33" s="28">
        <v>0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ht="15" customHeight="1" x14ac:dyDescent="0.25">
      <c r="A34" s="29">
        <v>18</v>
      </c>
      <c r="B34" s="29" t="s">
        <v>350</v>
      </c>
      <c r="C34" s="30">
        <f>SUM(D34:O34)</f>
        <v>130</v>
      </c>
      <c r="D34" s="28">
        <v>0</v>
      </c>
      <c r="E34" s="28">
        <f>130</f>
        <v>130</v>
      </c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6" spans="1:15" ht="18.75" customHeight="1" x14ac:dyDescent="0.25">
      <c r="A36" s="32" t="s">
        <v>3</v>
      </c>
      <c r="B36" s="33"/>
      <c r="C36" s="3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ht="18.75" customHeight="1" x14ac:dyDescent="0.25">
      <c r="A37" s="34" t="s">
        <v>4</v>
      </c>
      <c r="B37" s="35"/>
      <c r="C37" s="3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ht="18.75" customHeight="1" x14ac:dyDescent="0.25">
      <c r="A38" s="36" t="s">
        <v>5</v>
      </c>
      <c r="B38" s="37"/>
      <c r="C38" s="37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</sheetData>
  <sortState ref="A8:O34">
    <sortCondition descending="1" ref="C8:C34"/>
  </sortState>
  <mergeCells count="9">
    <mergeCell ref="A36:C36"/>
    <mergeCell ref="A37:C37"/>
    <mergeCell ref="A38:C38"/>
    <mergeCell ref="A1:O1"/>
    <mergeCell ref="A2:O2"/>
    <mergeCell ref="A3:O3"/>
    <mergeCell ref="A4:O4"/>
    <mergeCell ref="A5:O5"/>
    <mergeCell ref="A6:O6"/>
  </mergeCells>
  <pageMargins left="0.25" right="0" top="0.25" bottom="0.25" header="0.3" footer="0.3"/>
  <pageSetup paperSize="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3" customHeight="1" x14ac:dyDescent="0.4">
      <c r="A3" s="40" t="s">
        <v>107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32" t="s">
        <v>3</v>
      </c>
      <c r="B51" s="33"/>
      <c r="C51" s="3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34" t="s">
        <v>4</v>
      </c>
      <c r="B52" s="35"/>
      <c r="C52" s="3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36" t="s">
        <v>5</v>
      </c>
      <c r="B53" s="37"/>
      <c r="C53" s="3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3" customHeight="1" x14ac:dyDescent="0.4">
      <c r="A3" s="40" t="s">
        <v>101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32" t="s">
        <v>3</v>
      </c>
      <c r="B52" s="33"/>
      <c r="C52" s="3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34" t="s">
        <v>4</v>
      </c>
      <c r="B53" s="35"/>
      <c r="C53" s="3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36" t="s">
        <v>5</v>
      </c>
      <c r="B54" s="37"/>
      <c r="C54" s="3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45" customHeight="1" x14ac:dyDescent="0.5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3" customHeight="1" x14ac:dyDescent="0.4">
      <c r="A3" s="40" t="s">
        <v>82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32" t="s">
        <v>3</v>
      </c>
      <c r="B43" s="33"/>
      <c r="C43" s="3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34" t="s">
        <v>4</v>
      </c>
      <c r="B44" s="35"/>
      <c r="C44" s="3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36" t="s">
        <v>5</v>
      </c>
      <c r="B45" s="37"/>
      <c r="C45" s="37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45" customHeight="1" x14ac:dyDescent="0.5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3" customHeight="1" x14ac:dyDescent="0.4">
      <c r="A3" s="40" t="s">
        <v>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32" t="s">
        <v>3</v>
      </c>
      <c r="B47" s="33"/>
      <c r="C47" s="3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34" t="s">
        <v>4</v>
      </c>
      <c r="B48" s="35"/>
      <c r="C48" s="3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36" t="s">
        <v>5</v>
      </c>
      <c r="B49" s="37"/>
      <c r="C49" s="3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6" ht="45" customHeight="1" x14ac:dyDescent="0.5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3" customHeight="1" x14ac:dyDescent="0.4">
      <c r="A3" s="40" t="s">
        <v>43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30" customHeight="1" x14ac:dyDescent="0.4">
      <c r="A5" s="42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</row>
    <row r="6" spans="1:16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32" t="s">
        <v>3</v>
      </c>
      <c r="B48" s="33"/>
      <c r="C48" s="3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34" t="s">
        <v>4</v>
      </c>
      <c r="B49" s="35"/>
      <c r="C49" s="3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36" t="s">
        <v>5</v>
      </c>
      <c r="B50" s="37"/>
      <c r="C50" s="3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E47" sqref="E47"/>
    </sheetView>
  </sheetViews>
  <sheetFormatPr defaultRowHeight="12.75" x14ac:dyDescent="0.2"/>
  <cols>
    <col min="1" max="1" width="6.85546875" customWidth="1"/>
    <col min="2" max="2" width="18.85546875" customWidth="1"/>
    <col min="3" max="3" width="8.140625" customWidth="1"/>
    <col min="4" max="6" width="5.28515625" customWidth="1"/>
    <col min="7" max="7" width="6.85546875" customWidth="1"/>
    <col min="8" max="8" width="7.28515625" customWidth="1"/>
    <col min="9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247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326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278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" customHeight="1" x14ac:dyDescent="0.2">
      <c r="A7" s="17" t="s">
        <v>1</v>
      </c>
      <c r="B7" s="17" t="s">
        <v>0</v>
      </c>
      <c r="C7" s="17" t="s">
        <v>2</v>
      </c>
      <c r="D7" s="18">
        <v>45823</v>
      </c>
      <c r="E7" s="18">
        <v>45830</v>
      </c>
      <c r="F7" s="18">
        <v>45837</v>
      </c>
      <c r="G7" s="18" t="s">
        <v>270</v>
      </c>
      <c r="H7" s="18" t="s">
        <v>271</v>
      </c>
      <c r="I7" s="18" t="s">
        <v>272</v>
      </c>
      <c r="J7" s="18" t="s">
        <v>273</v>
      </c>
      <c r="K7" s="18" t="s">
        <v>274</v>
      </c>
      <c r="L7" s="18" t="s">
        <v>275</v>
      </c>
      <c r="M7" s="18" t="s">
        <v>276</v>
      </c>
      <c r="N7" s="18" t="s">
        <v>277</v>
      </c>
      <c r="O7" s="18" t="s">
        <v>327</v>
      </c>
    </row>
    <row r="8" spans="1:15" ht="15" customHeight="1" x14ac:dyDescent="0.2">
      <c r="A8" s="20">
        <v>1</v>
      </c>
      <c r="B8" s="20" t="s">
        <v>248</v>
      </c>
      <c r="C8" s="22">
        <f t="shared" ref="C8:C39" si="0">SUM(D8:O8)</f>
        <v>6650</v>
      </c>
      <c r="D8" s="21">
        <v>475</v>
      </c>
      <c r="E8" s="21">
        <v>475</v>
      </c>
      <c r="F8" s="21">
        <v>0</v>
      </c>
      <c r="G8" s="21">
        <f>250</f>
        <v>250</v>
      </c>
      <c r="H8" s="21">
        <f>300+300</f>
        <v>600</v>
      </c>
      <c r="I8" s="21">
        <f>325</f>
        <v>325</v>
      </c>
      <c r="J8" s="21">
        <f>375+225</f>
        <v>600</v>
      </c>
      <c r="K8" s="21">
        <f>425+350</f>
        <v>775</v>
      </c>
      <c r="L8" s="21">
        <f>175+300</f>
        <v>475</v>
      </c>
      <c r="M8" s="21">
        <f>325+425</f>
        <v>750</v>
      </c>
      <c r="N8" s="21">
        <f>425+375</f>
        <v>800</v>
      </c>
      <c r="O8" s="21">
        <f>475+300+350</f>
        <v>1125</v>
      </c>
    </row>
    <row r="9" spans="1:15" ht="15" customHeight="1" x14ac:dyDescent="0.2">
      <c r="A9" s="20">
        <v>2</v>
      </c>
      <c r="B9" s="20" t="s">
        <v>229</v>
      </c>
      <c r="C9" s="22">
        <f t="shared" si="0"/>
        <v>6300</v>
      </c>
      <c r="D9" s="21">
        <v>375</v>
      </c>
      <c r="E9" s="21">
        <v>375</v>
      </c>
      <c r="F9" s="21">
        <v>425</v>
      </c>
      <c r="G9" s="21">
        <v>275</v>
      </c>
      <c r="H9" s="21">
        <f>475+225</f>
        <v>700</v>
      </c>
      <c r="I9" s="21">
        <f>225+575</f>
        <v>800</v>
      </c>
      <c r="J9" s="21">
        <v>0</v>
      </c>
      <c r="K9" s="21">
        <v>575</v>
      </c>
      <c r="L9" s="21">
        <f>575+475+145</f>
        <v>1195</v>
      </c>
      <c r="M9" s="21">
        <f>145+375</f>
        <v>520</v>
      </c>
      <c r="N9" s="21">
        <f>375+160</f>
        <v>535</v>
      </c>
      <c r="O9" s="21">
        <f>225+300</f>
        <v>525</v>
      </c>
    </row>
    <row r="10" spans="1:15" ht="15" customHeight="1" x14ac:dyDescent="0.2">
      <c r="A10" s="20">
        <v>3</v>
      </c>
      <c r="B10" s="20" t="s">
        <v>244</v>
      </c>
      <c r="C10" s="22">
        <f t="shared" si="0"/>
        <v>4660</v>
      </c>
      <c r="D10" s="21">
        <v>425</v>
      </c>
      <c r="E10" s="21">
        <v>0</v>
      </c>
      <c r="F10" s="21">
        <v>0</v>
      </c>
      <c r="G10" s="21">
        <v>575</v>
      </c>
      <c r="H10" s="21">
        <f>325+160</f>
        <v>485</v>
      </c>
      <c r="I10" s="21">
        <f>115+250</f>
        <v>365</v>
      </c>
      <c r="J10" s="21">
        <f>250</f>
        <v>250</v>
      </c>
      <c r="K10" s="21">
        <f>160+250</f>
        <v>410</v>
      </c>
      <c r="L10" s="21">
        <f>250+375+475</f>
        <v>1100</v>
      </c>
      <c r="M10" s="21">
        <v>0</v>
      </c>
      <c r="N10" s="21">
        <f>175+200</f>
        <v>375</v>
      </c>
      <c r="O10" s="21">
        <f>425+250</f>
        <v>675</v>
      </c>
    </row>
    <row r="11" spans="1:15" ht="15" customHeight="1" x14ac:dyDescent="0.2">
      <c r="A11" s="20">
        <v>4</v>
      </c>
      <c r="B11" s="20" t="s">
        <v>266</v>
      </c>
      <c r="C11" s="22">
        <f t="shared" si="0"/>
        <v>4630</v>
      </c>
      <c r="D11" s="21">
        <v>0</v>
      </c>
      <c r="E11" s="21">
        <v>0</v>
      </c>
      <c r="F11" s="21">
        <v>160</v>
      </c>
      <c r="G11" s="21">
        <v>145</v>
      </c>
      <c r="H11" s="21">
        <f>275+425</f>
        <v>700</v>
      </c>
      <c r="I11" s="21">
        <v>375</v>
      </c>
      <c r="J11" s="21">
        <f>475+325</f>
        <v>800</v>
      </c>
      <c r="K11" s="21">
        <f>175+375</f>
        <v>550</v>
      </c>
      <c r="L11" s="21">
        <f>350+200+225</f>
        <v>775</v>
      </c>
      <c r="M11" s="21">
        <v>300</v>
      </c>
      <c r="N11" s="21">
        <f>575</f>
        <v>575</v>
      </c>
      <c r="O11" s="21">
        <f>250</f>
        <v>250</v>
      </c>
    </row>
    <row r="12" spans="1:15" ht="15" customHeight="1" x14ac:dyDescent="0.2">
      <c r="A12" s="20">
        <v>5</v>
      </c>
      <c r="B12" s="20" t="s">
        <v>297</v>
      </c>
      <c r="C12" s="22">
        <f t="shared" si="0"/>
        <v>4525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f>250+475</f>
        <v>725</v>
      </c>
      <c r="J12" s="21">
        <f>425+250</f>
        <v>675</v>
      </c>
      <c r="K12" s="21">
        <f>325+175</f>
        <v>500</v>
      </c>
      <c r="L12" s="21">
        <f>300+175+300</f>
        <v>775</v>
      </c>
      <c r="M12" s="21">
        <f>200+175</f>
        <v>375</v>
      </c>
      <c r="N12" s="21">
        <f>300+475</f>
        <v>775</v>
      </c>
      <c r="O12" s="21">
        <f>325+375</f>
        <v>700</v>
      </c>
    </row>
    <row r="13" spans="1:15" ht="15" customHeight="1" x14ac:dyDescent="0.2">
      <c r="A13" s="20">
        <v>6</v>
      </c>
      <c r="B13" s="20" t="s">
        <v>249</v>
      </c>
      <c r="C13" s="22">
        <f t="shared" si="0"/>
        <v>4375</v>
      </c>
      <c r="D13" s="21">
        <v>575</v>
      </c>
      <c r="E13" s="21">
        <v>325</v>
      </c>
      <c r="F13" s="21">
        <v>0</v>
      </c>
      <c r="G13" s="21">
        <f>145+160</f>
        <v>305</v>
      </c>
      <c r="H13" s="21">
        <v>115</v>
      </c>
      <c r="I13" s="21">
        <f>475</f>
        <v>475</v>
      </c>
      <c r="J13" s="21">
        <f>145+200</f>
        <v>345</v>
      </c>
      <c r="K13" s="21">
        <f>200+130</f>
        <v>330</v>
      </c>
      <c r="L13" s="21">
        <v>0</v>
      </c>
      <c r="M13" s="21">
        <f>130+225</f>
        <v>355</v>
      </c>
      <c r="N13" s="21">
        <f>275+425</f>
        <v>700</v>
      </c>
      <c r="O13" s="21">
        <f>275+575</f>
        <v>850</v>
      </c>
    </row>
    <row r="14" spans="1:15" ht="15" customHeight="1" x14ac:dyDescent="0.2">
      <c r="A14" s="20">
        <v>7</v>
      </c>
      <c r="B14" s="20" t="s">
        <v>296</v>
      </c>
      <c r="C14" s="22">
        <f t="shared" si="0"/>
        <v>4290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f>275+200</f>
        <v>475</v>
      </c>
      <c r="J14" s="21">
        <f>325+300</f>
        <v>625</v>
      </c>
      <c r="K14" s="21">
        <v>325</v>
      </c>
      <c r="L14" s="21">
        <f>115+275+575</f>
        <v>965</v>
      </c>
      <c r="M14" s="21">
        <f>475+130</f>
        <v>605</v>
      </c>
      <c r="N14" s="21">
        <f>145</f>
        <v>145</v>
      </c>
      <c r="O14" s="21">
        <f>300+275+575</f>
        <v>1150</v>
      </c>
    </row>
    <row r="15" spans="1:15" ht="15" customHeight="1" x14ac:dyDescent="0.2">
      <c r="A15" s="20">
        <v>8</v>
      </c>
      <c r="B15" s="20" t="s">
        <v>265</v>
      </c>
      <c r="C15" s="22">
        <f t="shared" si="0"/>
        <v>3870</v>
      </c>
      <c r="D15" s="21">
        <v>0</v>
      </c>
      <c r="E15" s="21">
        <v>0</v>
      </c>
      <c r="F15" s="21">
        <v>175</v>
      </c>
      <c r="G15" s="21">
        <v>0</v>
      </c>
      <c r="H15" s="21">
        <f>375+200</f>
        <v>575</v>
      </c>
      <c r="I15" s="21">
        <f>200</f>
        <v>200</v>
      </c>
      <c r="J15" s="21">
        <f>275+130</f>
        <v>405</v>
      </c>
      <c r="K15" s="21">
        <f>475+300</f>
        <v>775</v>
      </c>
      <c r="L15" s="21">
        <f>225+225+350</f>
        <v>800</v>
      </c>
      <c r="M15" s="21">
        <v>575</v>
      </c>
      <c r="N15" s="21">
        <f>250</f>
        <v>250</v>
      </c>
      <c r="O15" s="21">
        <f>115</f>
        <v>115</v>
      </c>
    </row>
    <row r="16" spans="1:15" ht="15" customHeight="1" x14ac:dyDescent="0.2">
      <c r="A16" s="20">
        <v>9</v>
      </c>
      <c r="B16" s="20" t="s">
        <v>290</v>
      </c>
      <c r="C16" s="22">
        <f t="shared" si="0"/>
        <v>3760</v>
      </c>
      <c r="D16" s="21">
        <v>0</v>
      </c>
      <c r="E16" s="21">
        <v>0</v>
      </c>
      <c r="F16" s="21">
        <v>0</v>
      </c>
      <c r="G16" s="21">
        <v>130</v>
      </c>
      <c r="H16" s="21">
        <f>575+350</f>
        <v>925</v>
      </c>
      <c r="I16" s="21">
        <f>145+130</f>
        <v>275</v>
      </c>
      <c r="J16" s="21">
        <f>200+115</f>
        <v>315</v>
      </c>
      <c r="K16" s="21">
        <f>145+200</f>
        <v>345</v>
      </c>
      <c r="L16" s="21">
        <v>0</v>
      </c>
      <c r="M16" s="21">
        <f>225+475</f>
        <v>700</v>
      </c>
      <c r="N16" s="21">
        <f>225+145</f>
        <v>370</v>
      </c>
      <c r="O16" s="21">
        <f>200+225+275</f>
        <v>700</v>
      </c>
    </row>
    <row r="17" spans="1:15" ht="15" customHeight="1" x14ac:dyDescent="0.2">
      <c r="A17" s="20">
        <v>10</v>
      </c>
      <c r="B17" s="20" t="s">
        <v>268</v>
      </c>
      <c r="C17" s="22">
        <f t="shared" si="0"/>
        <v>3460</v>
      </c>
      <c r="D17" s="21">
        <v>0</v>
      </c>
      <c r="E17" s="21">
        <v>0</v>
      </c>
      <c r="F17" s="21">
        <v>130</v>
      </c>
      <c r="G17" s="21">
        <f>575</f>
        <v>575</v>
      </c>
      <c r="H17" s="21">
        <f>145</f>
        <v>145</v>
      </c>
      <c r="I17" s="21">
        <v>325</v>
      </c>
      <c r="J17" s="21">
        <v>0</v>
      </c>
      <c r="K17" s="21">
        <v>275</v>
      </c>
      <c r="L17" s="21">
        <f>375+160</f>
        <v>535</v>
      </c>
      <c r="M17" s="21">
        <v>250</v>
      </c>
      <c r="N17" s="21">
        <v>300</v>
      </c>
      <c r="O17" s="21">
        <f>575+350</f>
        <v>925</v>
      </c>
    </row>
    <row r="18" spans="1:15" ht="15" customHeight="1" x14ac:dyDescent="0.2">
      <c r="A18" s="20">
        <v>11</v>
      </c>
      <c r="B18" s="20" t="s">
        <v>292</v>
      </c>
      <c r="C18" s="21">
        <f t="shared" si="0"/>
        <v>3375</v>
      </c>
      <c r="D18" s="21">
        <v>0</v>
      </c>
      <c r="E18" s="21">
        <v>0</v>
      </c>
      <c r="F18" s="21">
        <v>0</v>
      </c>
      <c r="G18" s="21">
        <v>0</v>
      </c>
      <c r="H18" s="21">
        <f>425+575</f>
        <v>1000</v>
      </c>
      <c r="I18" s="21">
        <f>575+425</f>
        <v>1000</v>
      </c>
      <c r="J18" s="21">
        <f>225</f>
        <v>225</v>
      </c>
      <c r="K18" s="21">
        <f>250+160</f>
        <v>410</v>
      </c>
      <c r="L18" s="21">
        <f>275+350</f>
        <v>625</v>
      </c>
      <c r="M18" s="21">
        <v>0</v>
      </c>
      <c r="N18" s="21">
        <v>0</v>
      </c>
      <c r="O18" s="21">
        <f>115</f>
        <v>115</v>
      </c>
    </row>
    <row r="19" spans="1:15" ht="15" customHeight="1" x14ac:dyDescent="0.2">
      <c r="A19" s="20">
        <v>12</v>
      </c>
      <c r="B19" s="20" t="s">
        <v>288</v>
      </c>
      <c r="C19" s="21">
        <f t="shared" si="0"/>
        <v>2910</v>
      </c>
      <c r="D19" s="21">
        <v>0</v>
      </c>
      <c r="E19" s="21">
        <v>0</v>
      </c>
      <c r="F19" s="21">
        <v>0</v>
      </c>
      <c r="G19" s="21">
        <v>350</v>
      </c>
      <c r="H19" s="21">
        <v>250</v>
      </c>
      <c r="I19" s="21">
        <v>175</v>
      </c>
      <c r="J19" s="21">
        <v>350</v>
      </c>
      <c r="K19" s="21">
        <v>475</v>
      </c>
      <c r="L19" s="21">
        <f>160+145+130</f>
        <v>435</v>
      </c>
      <c r="M19" s="21">
        <v>350</v>
      </c>
      <c r="N19" s="21">
        <v>350</v>
      </c>
      <c r="O19" s="21">
        <f>175</f>
        <v>175</v>
      </c>
    </row>
    <row r="20" spans="1:15" ht="15" customHeight="1" x14ac:dyDescent="0.2">
      <c r="A20" s="20">
        <v>13</v>
      </c>
      <c r="B20" s="20" t="s">
        <v>303</v>
      </c>
      <c r="C20" s="21">
        <f t="shared" si="0"/>
        <v>2765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f>300+475</f>
        <v>775</v>
      </c>
      <c r="K20" s="21">
        <f>350</f>
        <v>350</v>
      </c>
      <c r="L20" s="21">
        <v>200</v>
      </c>
      <c r="M20" s="21">
        <f>575</f>
        <v>575</v>
      </c>
      <c r="N20" s="21">
        <f>115+575</f>
        <v>690</v>
      </c>
      <c r="O20" s="21">
        <f>175</f>
        <v>175</v>
      </c>
    </row>
    <row r="21" spans="1:15" ht="15" customHeight="1" x14ac:dyDescent="0.2">
      <c r="A21" s="20">
        <v>14</v>
      </c>
      <c r="B21" s="20" t="s">
        <v>195</v>
      </c>
      <c r="C21" s="21">
        <f t="shared" si="0"/>
        <v>2655</v>
      </c>
      <c r="D21" s="21">
        <v>160</v>
      </c>
      <c r="E21" s="21">
        <v>0</v>
      </c>
      <c r="F21" s="21">
        <v>375</v>
      </c>
      <c r="G21" s="21">
        <v>375</v>
      </c>
      <c r="H21" s="21">
        <f>160+475</f>
        <v>635</v>
      </c>
      <c r="I21" s="21">
        <f>350+375</f>
        <v>725</v>
      </c>
      <c r="J21" s="21">
        <v>0</v>
      </c>
      <c r="K21" s="21">
        <v>0</v>
      </c>
      <c r="L21" s="21">
        <v>160</v>
      </c>
      <c r="M21" s="21">
        <v>0</v>
      </c>
      <c r="N21" s="21">
        <v>225</v>
      </c>
      <c r="O21" s="21">
        <v>0</v>
      </c>
    </row>
    <row r="22" spans="1:15" ht="15" customHeight="1" x14ac:dyDescent="0.2">
      <c r="A22" s="20">
        <v>15</v>
      </c>
      <c r="B22" s="20" t="s">
        <v>294</v>
      </c>
      <c r="C22" s="21">
        <f t="shared" si="0"/>
        <v>2420</v>
      </c>
      <c r="D22" s="21">
        <v>0</v>
      </c>
      <c r="E22" s="21">
        <v>0</v>
      </c>
      <c r="F22" s="21">
        <v>0</v>
      </c>
      <c r="G22" s="21">
        <v>0</v>
      </c>
      <c r="H22" s="21">
        <f>130</f>
        <v>130</v>
      </c>
      <c r="I22" s="21">
        <f>160</f>
        <v>160</v>
      </c>
      <c r="J22" s="21">
        <f>350</f>
        <v>350</v>
      </c>
      <c r="K22" s="21">
        <v>0</v>
      </c>
      <c r="L22" s="21">
        <f>145+425</f>
        <v>570</v>
      </c>
      <c r="M22" s="21">
        <f>160+325</f>
        <v>485</v>
      </c>
      <c r="N22" s="21">
        <f>350+115</f>
        <v>465</v>
      </c>
      <c r="O22" s="21">
        <f>130+130</f>
        <v>260</v>
      </c>
    </row>
    <row r="23" spans="1:15" ht="15" customHeight="1" x14ac:dyDescent="0.2">
      <c r="A23" s="20">
        <v>16</v>
      </c>
      <c r="B23" s="20" t="s">
        <v>250</v>
      </c>
      <c r="C23" s="21">
        <f t="shared" si="0"/>
        <v>2240</v>
      </c>
      <c r="D23" s="21">
        <v>350</v>
      </c>
      <c r="E23" s="21">
        <v>300</v>
      </c>
      <c r="F23" s="21">
        <v>0</v>
      </c>
      <c r="G23" s="21">
        <v>175</v>
      </c>
      <c r="H23" s="21">
        <f>115+275</f>
        <v>390</v>
      </c>
      <c r="I23" s="21">
        <f>300</f>
        <v>300</v>
      </c>
      <c r="J23" s="21">
        <v>0</v>
      </c>
      <c r="K23" s="21">
        <v>0</v>
      </c>
      <c r="L23" s="21">
        <f>130</f>
        <v>130</v>
      </c>
      <c r="M23" s="21">
        <f>275+145</f>
        <v>420</v>
      </c>
      <c r="N23" s="21">
        <v>0</v>
      </c>
      <c r="O23" s="21">
        <v>175</v>
      </c>
    </row>
    <row r="24" spans="1:15" ht="15" customHeight="1" x14ac:dyDescent="0.2">
      <c r="A24" s="20">
        <v>17</v>
      </c>
      <c r="B24" s="20" t="s">
        <v>259</v>
      </c>
      <c r="C24" s="21">
        <f t="shared" si="0"/>
        <v>2065</v>
      </c>
      <c r="D24" s="21">
        <v>0</v>
      </c>
      <c r="E24" s="21">
        <v>275</v>
      </c>
      <c r="F24" s="21">
        <v>200</v>
      </c>
      <c r="G24" s="21">
        <v>250</v>
      </c>
      <c r="H24" s="21">
        <f>200+325</f>
        <v>525</v>
      </c>
      <c r="I24" s="21">
        <v>0</v>
      </c>
      <c r="J24" s="21">
        <v>0</v>
      </c>
      <c r="K24" s="21">
        <f>275+425</f>
        <v>700</v>
      </c>
      <c r="L24" s="21">
        <v>0</v>
      </c>
      <c r="M24" s="21">
        <f>115</f>
        <v>115</v>
      </c>
      <c r="N24" s="21">
        <v>0</v>
      </c>
      <c r="O24" s="21">
        <v>0</v>
      </c>
    </row>
    <row r="25" spans="1:15" ht="15" customHeight="1" x14ac:dyDescent="0.2">
      <c r="A25" s="20">
        <v>18</v>
      </c>
      <c r="B25" s="20" t="s">
        <v>317</v>
      </c>
      <c r="C25" s="21">
        <f t="shared" si="0"/>
        <v>1685</v>
      </c>
      <c r="D25" s="21">
        <v>0</v>
      </c>
      <c r="E25" s="21">
        <v>0</v>
      </c>
      <c r="F25" s="21">
        <v>0</v>
      </c>
      <c r="G25" s="21">
        <v>325</v>
      </c>
      <c r="H25" s="21">
        <v>0</v>
      </c>
      <c r="I25" s="21">
        <v>0</v>
      </c>
      <c r="J25" s="21">
        <v>0</v>
      </c>
      <c r="K25" s="21">
        <v>0</v>
      </c>
      <c r="L25" s="21">
        <f>325+275</f>
        <v>600</v>
      </c>
      <c r="M25" s="21">
        <v>0</v>
      </c>
      <c r="N25" s="21">
        <v>275</v>
      </c>
      <c r="O25" s="21">
        <f>160+325</f>
        <v>485</v>
      </c>
    </row>
    <row r="26" spans="1:15" ht="15" customHeight="1" x14ac:dyDescent="0.2">
      <c r="A26" s="20">
        <v>19</v>
      </c>
      <c r="B26" s="20" t="s">
        <v>260</v>
      </c>
      <c r="C26" s="21">
        <f t="shared" si="0"/>
        <v>1640</v>
      </c>
      <c r="D26" s="21">
        <v>0</v>
      </c>
      <c r="E26" s="21">
        <v>0</v>
      </c>
      <c r="F26" s="21">
        <v>575</v>
      </c>
      <c r="G26" s="21">
        <v>200</v>
      </c>
      <c r="H26" s="21">
        <v>175</v>
      </c>
      <c r="I26" s="21">
        <v>0</v>
      </c>
      <c r="J26" s="21">
        <v>0</v>
      </c>
      <c r="K26" s="21">
        <v>0</v>
      </c>
      <c r="L26" s="21">
        <f>115+375</f>
        <v>490</v>
      </c>
      <c r="M26" s="21">
        <v>200</v>
      </c>
      <c r="N26" s="21">
        <v>0</v>
      </c>
      <c r="O26" s="21">
        <v>0</v>
      </c>
    </row>
    <row r="27" spans="1:15" ht="15" customHeight="1" x14ac:dyDescent="0.2">
      <c r="A27" s="20">
        <v>20</v>
      </c>
      <c r="B27" s="20" t="s">
        <v>279</v>
      </c>
      <c r="C27" s="21">
        <f t="shared" si="0"/>
        <v>1525</v>
      </c>
      <c r="D27" s="21">
        <v>0</v>
      </c>
      <c r="E27" s="21">
        <v>0</v>
      </c>
      <c r="F27" s="21">
        <v>0</v>
      </c>
      <c r="G27" s="21">
        <f>425</f>
        <v>425</v>
      </c>
      <c r="H27" s="21">
        <f>350</f>
        <v>350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325</v>
      </c>
      <c r="O27" s="21">
        <f>425</f>
        <v>425</v>
      </c>
    </row>
    <row r="28" spans="1:15" ht="15" customHeight="1" x14ac:dyDescent="0.2">
      <c r="A28" s="20">
        <v>21</v>
      </c>
      <c r="B28" s="20" t="s">
        <v>293</v>
      </c>
      <c r="C28" s="21">
        <f t="shared" si="0"/>
        <v>1510</v>
      </c>
      <c r="D28" s="21">
        <v>0</v>
      </c>
      <c r="E28" s="21">
        <v>0</v>
      </c>
      <c r="F28" s="21">
        <v>0</v>
      </c>
      <c r="G28" s="21">
        <v>0</v>
      </c>
      <c r="H28" s="21">
        <f>225</f>
        <v>225</v>
      </c>
      <c r="I28" s="21">
        <v>0</v>
      </c>
      <c r="J28" s="21">
        <f>130+275</f>
        <v>405</v>
      </c>
      <c r="K28" s="21">
        <f>115</f>
        <v>115</v>
      </c>
      <c r="L28" s="21">
        <f>275</f>
        <v>275</v>
      </c>
      <c r="M28" s="21">
        <v>0</v>
      </c>
      <c r="N28" s="21">
        <v>0</v>
      </c>
      <c r="O28" s="21">
        <f>375+115</f>
        <v>490</v>
      </c>
    </row>
    <row r="29" spans="1:15" ht="15" customHeight="1" x14ac:dyDescent="0.2">
      <c r="A29" s="20">
        <v>22</v>
      </c>
      <c r="B29" s="20" t="s">
        <v>286</v>
      </c>
      <c r="C29" s="21">
        <f t="shared" si="0"/>
        <v>1480</v>
      </c>
      <c r="D29" s="21">
        <v>0</v>
      </c>
      <c r="E29" s="21">
        <v>0</v>
      </c>
      <c r="F29" s="21">
        <v>300</v>
      </c>
      <c r="G29" s="21">
        <f>115+300</f>
        <v>415</v>
      </c>
      <c r="H29" s="21">
        <v>130</v>
      </c>
      <c r="I29" s="21">
        <v>160</v>
      </c>
      <c r="J29" s="21">
        <v>0</v>
      </c>
      <c r="K29" s="21">
        <v>115</v>
      </c>
      <c r="L29" s="21">
        <v>0</v>
      </c>
      <c r="M29" s="21">
        <v>160</v>
      </c>
      <c r="N29" s="21">
        <v>0</v>
      </c>
      <c r="O29" s="21">
        <f>200</f>
        <v>200</v>
      </c>
    </row>
    <row r="30" spans="1:15" ht="15" customHeight="1" x14ac:dyDescent="0.2">
      <c r="A30" s="20">
        <v>23</v>
      </c>
      <c r="B30" s="20" t="s">
        <v>300</v>
      </c>
      <c r="C30" s="21">
        <f t="shared" si="0"/>
        <v>1365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275</v>
      </c>
      <c r="J30" s="21">
        <v>0</v>
      </c>
      <c r="K30" s="21">
        <v>0</v>
      </c>
      <c r="L30" s="21">
        <v>325</v>
      </c>
      <c r="M30" s="21">
        <v>0</v>
      </c>
      <c r="N30" s="21">
        <v>0</v>
      </c>
      <c r="O30" s="21">
        <f>145+475+145</f>
        <v>765</v>
      </c>
    </row>
    <row r="31" spans="1:15" ht="15" customHeight="1" x14ac:dyDescent="0.2">
      <c r="A31" s="20">
        <v>24</v>
      </c>
      <c r="B31" s="20" t="s">
        <v>257</v>
      </c>
      <c r="C31" s="21">
        <f t="shared" si="0"/>
        <v>1325</v>
      </c>
      <c r="D31" s="21">
        <v>275</v>
      </c>
      <c r="E31" s="21">
        <v>575</v>
      </c>
      <c r="F31" s="21">
        <v>475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</row>
    <row r="32" spans="1:15" ht="15" customHeight="1" x14ac:dyDescent="0.2">
      <c r="A32" s="20">
        <v>25</v>
      </c>
      <c r="B32" s="20" t="s">
        <v>310</v>
      </c>
      <c r="C32" s="21">
        <f t="shared" si="0"/>
        <v>1150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f>225</f>
        <v>225</v>
      </c>
      <c r="L32" s="21">
        <f>425</f>
        <v>425</v>
      </c>
      <c r="M32" s="21">
        <f>175</f>
        <v>175</v>
      </c>
      <c r="N32" s="21">
        <f>325</f>
        <v>325</v>
      </c>
      <c r="O32" s="21">
        <v>0</v>
      </c>
    </row>
    <row r="33" spans="1:15" ht="15" customHeight="1" x14ac:dyDescent="0.2">
      <c r="A33" s="20">
        <v>26</v>
      </c>
      <c r="B33" s="20" t="s">
        <v>245</v>
      </c>
      <c r="C33" s="21">
        <f t="shared" si="0"/>
        <v>1050</v>
      </c>
      <c r="D33" s="21">
        <v>300</v>
      </c>
      <c r="E33" s="21">
        <v>0</v>
      </c>
      <c r="F33" s="21">
        <v>0</v>
      </c>
      <c r="G33" s="21">
        <v>0</v>
      </c>
      <c r="H33" s="21">
        <f>250</f>
        <v>250</v>
      </c>
      <c r="I33" s="21">
        <v>225</v>
      </c>
      <c r="J33" s="21">
        <f>160</f>
        <v>160</v>
      </c>
      <c r="K33" s="21">
        <v>0</v>
      </c>
      <c r="L33" s="21">
        <v>115</v>
      </c>
      <c r="M33" s="21">
        <v>0</v>
      </c>
      <c r="N33" s="21">
        <v>0</v>
      </c>
      <c r="O33" s="21">
        <v>0</v>
      </c>
    </row>
    <row r="34" spans="1:15" ht="15" customHeight="1" x14ac:dyDescent="0.2">
      <c r="A34" s="20">
        <v>27</v>
      </c>
      <c r="B34" s="20" t="s">
        <v>298</v>
      </c>
      <c r="C34" s="21">
        <f t="shared" si="0"/>
        <v>900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f>175+300</f>
        <v>475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425</v>
      </c>
    </row>
    <row r="35" spans="1:15" ht="15" customHeight="1" x14ac:dyDescent="0.2">
      <c r="A35" s="20">
        <v>28</v>
      </c>
      <c r="B35" s="20" t="s">
        <v>313</v>
      </c>
      <c r="C35" s="21">
        <f t="shared" si="0"/>
        <v>840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f>475</f>
        <v>475</v>
      </c>
      <c r="M35" s="21">
        <f>250+115</f>
        <v>365</v>
      </c>
      <c r="N35" s="21">
        <v>0</v>
      </c>
      <c r="O35" s="21">
        <v>0</v>
      </c>
    </row>
    <row r="36" spans="1:15" ht="15" customHeight="1" x14ac:dyDescent="0.2">
      <c r="A36" s="20">
        <v>29</v>
      </c>
      <c r="B36" s="20" t="s">
        <v>320</v>
      </c>
      <c r="C36" s="21">
        <f t="shared" si="0"/>
        <v>810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175</v>
      </c>
      <c r="M36" s="21">
        <v>0</v>
      </c>
      <c r="N36" s="21">
        <f>475</f>
        <v>475</v>
      </c>
      <c r="O36" s="21">
        <f>160</f>
        <v>160</v>
      </c>
    </row>
    <row r="37" spans="1:15" ht="15" customHeight="1" x14ac:dyDescent="0.2">
      <c r="A37" s="20">
        <v>30</v>
      </c>
      <c r="B37" s="20" t="s">
        <v>251</v>
      </c>
      <c r="C37" s="21">
        <f t="shared" si="0"/>
        <v>800</v>
      </c>
      <c r="D37" s="21">
        <v>325</v>
      </c>
      <c r="E37" s="21">
        <v>0</v>
      </c>
      <c r="F37" s="21">
        <v>0</v>
      </c>
      <c r="G37" s="21">
        <f>475</f>
        <v>475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</row>
    <row r="38" spans="1:15" ht="15" customHeight="1" x14ac:dyDescent="0.2">
      <c r="A38" s="20">
        <v>31</v>
      </c>
      <c r="B38" s="20" t="s">
        <v>319</v>
      </c>
      <c r="C38" s="21">
        <f t="shared" si="0"/>
        <v>790</v>
      </c>
      <c r="D38" s="21">
        <v>0</v>
      </c>
      <c r="E38" s="21">
        <v>0</v>
      </c>
      <c r="F38" s="21">
        <v>0</v>
      </c>
      <c r="G38" s="21">
        <v>0</v>
      </c>
      <c r="H38" s="21">
        <v>145</v>
      </c>
      <c r="I38" s="21">
        <v>0</v>
      </c>
      <c r="J38" s="21">
        <v>0</v>
      </c>
      <c r="K38" s="21">
        <v>0</v>
      </c>
      <c r="L38" s="21">
        <v>0</v>
      </c>
      <c r="M38" s="21">
        <v>275</v>
      </c>
      <c r="N38" s="21">
        <v>0</v>
      </c>
      <c r="O38" s="21">
        <f>145+225</f>
        <v>370</v>
      </c>
    </row>
    <row r="39" spans="1:15" ht="15" customHeight="1" x14ac:dyDescent="0.2">
      <c r="A39" s="20">
        <v>32</v>
      </c>
      <c r="B39" s="20" t="s">
        <v>280</v>
      </c>
      <c r="C39" s="21">
        <f t="shared" si="0"/>
        <v>725</v>
      </c>
      <c r="D39" s="21">
        <v>0</v>
      </c>
      <c r="E39" s="21">
        <v>0</v>
      </c>
      <c r="F39" s="21">
        <v>0</v>
      </c>
      <c r="G39" s="21">
        <f>375</f>
        <v>375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f>350</f>
        <v>350</v>
      </c>
    </row>
    <row r="40" spans="1:15" ht="15" customHeight="1" x14ac:dyDescent="0.2">
      <c r="A40" s="23">
        <v>33</v>
      </c>
      <c r="B40" s="23" t="s">
        <v>291</v>
      </c>
      <c r="C40" s="24">
        <f t="shared" ref="C40:C71" si="1">SUM(D40:O40)</f>
        <v>695</v>
      </c>
      <c r="D40" s="24">
        <v>0</v>
      </c>
      <c r="E40" s="24">
        <v>0</v>
      </c>
      <c r="F40" s="24">
        <v>0</v>
      </c>
      <c r="G40" s="24">
        <v>115</v>
      </c>
      <c r="H40" s="24">
        <f>175</f>
        <v>175</v>
      </c>
      <c r="I40" s="24">
        <f>130+115</f>
        <v>245</v>
      </c>
      <c r="J40" s="24">
        <v>160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</row>
    <row r="41" spans="1:15" ht="15" customHeight="1" x14ac:dyDescent="0.2">
      <c r="A41" s="23">
        <v>34</v>
      </c>
      <c r="B41" s="23" t="s">
        <v>253</v>
      </c>
      <c r="C41" s="24">
        <f t="shared" si="1"/>
        <v>675</v>
      </c>
      <c r="D41" s="24">
        <v>200</v>
      </c>
      <c r="E41" s="24">
        <v>0</v>
      </c>
      <c r="F41" s="24">
        <v>0</v>
      </c>
      <c r="G41" s="24">
        <v>475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</row>
    <row r="42" spans="1:15" ht="15" customHeight="1" x14ac:dyDescent="0.2">
      <c r="A42" s="23">
        <v>35</v>
      </c>
      <c r="B42" s="23" t="s">
        <v>199</v>
      </c>
      <c r="C42" s="24">
        <f t="shared" si="1"/>
        <v>650</v>
      </c>
      <c r="D42" s="24">
        <v>0</v>
      </c>
      <c r="E42" s="24">
        <v>425</v>
      </c>
      <c r="F42" s="24">
        <v>0</v>
      </c>
      <c r="G42" s="24">
        <f>225</f>
        <v>225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</row>
    <row r="43" spans="1:15" ht="15" customHeight="1" x14ac:dyDescent="0.2">
      <c r="A43" s="23">
        <v>36</v>
      </c>
      <c r="B43" s="23" t="s">
        <v>261</v>
      </c>
      <c r="C43" s="24">
        <f t="shared" si="1"/>
        <v>625</v>
      </c>
      <c r="D43" s="24">
        <v>0</v>
      </c>
      <c r="E43" s="24">
        <v>0</v>
      </c>
      <c r="F43" s="24">
        <v>325</v>
      </c>
      <c r="G43" s="24">
        <f>300</f>
        <v>300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0</v>
      </c>
      <c r="O43" s="24">
        <v>0</v>
      </c>
    </row>
    <row r="44" spans="1:15" ht="15" customHeight="1" x14ac:dyDescent="0.2">
      <c r="A44" s="23">
        <v>37</v>
      </c>
      <c r="B44" s="23" t="s">
        <v>328</v>
      </c>
      <c r="C44" s="24">
        <f t="shared" si="1"/>
        <v>575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250</v>
      </c>
      <c r="O44" s="24">
        <f>325</f>
        <v>325</v>
      </c>
    </row>
    <row r="45" spans="1:15" ht="15" customHeight="1" x14ac:dyDescent="0.2">
      <c r="A45" s="23">
        <v>37</v>
      </c>
      <c r="B45" s="23" t="s">
        <v>306</v>
      </c>
      <c r="C45" s="24">
        <f t="shared" si="1"/>
        <v>575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f>575</f>
        <v>575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</row>
    <row r="46" spans="1:15" ht="15" customHeight="1" x14ac:dyDescent="0.2">
      <c r="A46" s="23">
        <v>37</v>
      </c>
      <c r="B46" s="23" t="s">
        <v>304</v>
      </c>
      <c r="C46" s="24">
        <f t="shared" si="1"/>
        <v>575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f>175+175</f>
        <v>350</v>
      </c>
      <c r="K46" s="24">
        <v>225</v>
      </c>
      <c r="L46" s="24">
        <v>0</v>
      </c>
      <c r="M46" s="24">
        <v>0</v>
      </c>
      <c r="N46" s="24">
        <v>0</v>
      </c>
      <c r="O46" s="24">
        <v>0</v>
      </c>
    </row>
    <row r="47" spans="1:15" ht="15" customHeight="1" x14ac:dyDescent="0.2">
      <c r="A47" s="23">
        <v>37</v>
      </c>
      <c r="B47" s="23" t="s">
        <v>316</v>
      </c>
      <c r="C47" s="24">
        <f t="shared" si="1"/>
        <v>575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f>575</f>
        <v>575</v>
      </c>
      <c r="M47" s="24">
        <v>0</v>
      </c>
      <c r="N47" s="24">
        <v>0</v>
      </c>
      <c r="O47" s="24">
        <v>0</v>
      </c>
    </row>
    <row r="48" spans="1:15" ht="15" customHeight="1" x14ac:dyDescent="0.2">
      <c r="A48" s="23">
        <v>37</v>
      </c>
      <c r="B48" s="23" t="s">
        <v>246</v>
      </c>
      <c r="C48" s="24">
        <f t="shared" si="1"/>
        <v>575</v>
      </c>
      <c r="D48" s="24">
        <v>225</v>
      </c>
      <c r="E48" s="24">
        <v>0</v>
      </c>
      <c r="F48" s="24">
        <v>350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</row>
    <row r="49" spans="1:15" ht="15" customHeight="1" x14ac:dyDescent="0.2">
      <c r="A49" s="23">
        <v>37</v>
      </c>
      <c r="B49" s="23" t="s">
        <v>302</v>
      </c>
      <c r="C49" s="24">
        <f t="shared" si="1"/>
        <v>575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f>575</f>
        <v>575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</row>
    <row r="50" spans="1:15" ht="15" customHeight="1" x14ac:dyDescent="0.2">
      <c r="A50" s="23">
        <v>37</v>
      </c>
      <c r="B50" s="23" t="s">
        <v>309</v>
      </c>
      <c r="C50" s="24">
        <f t="shared" si="1"/>
        <v>575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f>575</f>
        <v>575</v>
      </c>
      <c r="L50" s="24">
        <v>0</v>
      </c>
      <c r="M50" s="24">
        <v>0</v>
      </c>
      <c r="N50" s="24">
        <v>0</v>
      </c>
      <c r="O50" s="24">
        <v>0</v>
      </c>
    </row>
    <row r="51" spans="1:15" ht="15" customHeight="1" x14ac:dyDescent="0.2">
      <c r="A51" s="23">
        <v>38</v>
      </c>
      <c r="B51" s="23" t="s">
        <v>318</v>
      </c>
      <c r="C51" s="24">
        <f t="shared" si="1"/>
        <v>555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f>130+425</f>
        <v>555</v>
      </c>
      <c r="M51" s="24">
        <v>0</v>
      </c>
      <c r="N51" s="24">
        <v>0</v>
      </c>
      <c r="O51" s="24">
        <v>0</v>
      </c>
    </row>
    <row r="52" spans="1:15" ht="15" customHeight="1" x14ac:dyDescent="0.2">
      <c r="A52" s="23">
        <v>39</v>
      </c>
      <c r="B52" s="23" t="s">
        <v>329</v>
      </c>
      <c r="C52" s="24">
        <f t="shared" si="1"/>
        <v>490</v>
      </c>
      <c r="D52" s="24">
        <v>0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160</v>
      </c>
      <c r="O52" s="24">
        <f>130+200</f>
        <v>330</v>
      </c>
    </row>
    <row r="53" spans="1:15" ht="15" customHeight="1" x14ac:dyDescent="0.2">
      <c r="A53" s="23">
        <v>40</v>
      </c>
      <c r="B53" s="23" t="s">
        <v>331</v>
      </c>
      <c r="C53" s="24">
        <f t="shared" si="1"/>
        <v>475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475</v>
      </c>
    </row>
    <row r="54" spans="1:15" ht="15" customHeight="1" x14ac:dyDescent="0.2">
      <c r="A54" s="23">
        <v>41</v>
      </c>
      <c r="B54" s="23" t="s">
        <v>315</v>
      </c>
      <c r="C54" s="24">
        <f t="shared" si="1"/>
        <v>450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f>200+250</f>
        <v>450</v>
      </c>
      <c r="M54" s="24">
        <v>0</v>
      </c>
      <c r="N54" s="24">
        <v>0</v>
      </c>
      <c r="O54" s="24">
        <v>0</v>
      </c>
    </row>
    <row r="55" spans="1:15" ht="15" customHeight="1" x14ac:dyDescent="0.2">
      <c r="A55" s="23">
        <v>42</v>
      </c>
      <c r="B55" s="23" t="s">
        <v>287</v>
      </c>
      <c r="C55" s="24">
        <f t="shared" si="1"/>
        <v>425</v>
      </c>
      <c r="D55" s="24">
        <v>0</v>
      </c>
      <c r="E55" s="24">
        <v>0</v>
      </c>
      <c r="F55" s="24">
        <v>0</v>
      </c>
      <c r="G55" s="24">
        <v>425</v>
      </c>
      <c r="H55" s="24">
        <v>0</v>
      </c>
      <c r="I55" s="24">
        <v>0</v>
      </c>
      <c r="J55" s="24">
        <v>0</v>
      </c>
      <c r="K55" s="24">
        <v>0</v>
      </c>
      <c r="L55" s="24">
        <v>0</v>
      </c>
      <c r="M55" s="24">
        <v>0</v>
      </c>
      <c r="N55" s="24">
        <v>0</v>
      </c>
      <c r="O55" s="24">
        <v>0</v>
      </c>
    </row>
    <row r="56" spans="1:15" ht="15" customHeight="1" x14ac:dyDescent="0.2">
      <c r="A56" s="23">
        <v>42</v>
      </c>
      <c r="B56" s="23" t="s">
        <v>321</v>
      </c>
      <c r="C56" s="24">
        <f t="shared" si="1"/>
        <v>425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f>425</f>
        <v>425</v>
      </c>
      <c r="N56" s="24">
        <v>0</v>
      </c>
      <c r="O56" s="24">
        <v>0</v>
      </c>
    </row>
    <row r="57" spans="1:15" ht="15" customHeight="1" x14ac:dyDescent="0.2">
      <c r="A57" s="23">
        <v>42</v>
      </c>
      <c r="B57" s="23" t="s">
        <v>218</v>
      </c>
      <c r="C57" s="24">
        <f t="shared" si="1"/>
        <v>425</v>
      </c>
      <c r="D57" s="24">
        <v>0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f>425</f>
        <v>425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</row>
    <row r="58" spans="1:15" ht="15" customHeight="1" x14ac:dyDescent="0.2">
      <c r="A58" s="23">
        <v>42</v>
      </c>
      <c r="B58" s="23" t="s">
        <v>295</v>
      </c>
      <c r="C58" s="24">
        <f t="shared" si="1"/>
        <v>425</v>
      </c>
      <c r="D58" s="24">
        <v>0</v>
      </c>
      <c r="E58" s="24">
        <v>0</v>
      </c>
      <c r="F58" s="24">
        <v>0</v>
      </c>
      <c r="G58" s="24">
        <v>0</v>
      </c>
      <c r="H58" s="24">
        <v>0</v>
      </c>
      <c r="I58" s="24">
        <v>425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0</v>
      </c>
    </row>
    <row r="59" spans="1:15" ht="15" customHeight="1" x14ac:dyDescent="0.2">
      <c r="A59" s="25">
        <v>43</v>
      </c>
      <c r="B59" s="25" t="s">
        <v>330</v>
      </c>
      <c r="C59" s="19">
        <f t="shared" si="1"/>
        <v>380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130</v>
      </c>
      <c r="O59" s="19">
        <f>250</f>
        <v>250</v>
      </c>
    </row>
    <row r="60" spans="1:15" ht="15" customHeight="1" x14ac:dyDescent="0.2">
      <c r="A60" s="25">
        <v>43</v>
      </c>
      <c r="B60" s="25" t="s">
        <v>263</v>
      </c>
      <c r="C60" s="19">
        <f t="shared" si="1"/>
        <v>380</v>
      </c>
      <c r="D60" s="19">
        <v>0</v>
      </c>
      <c r="E60" s="19">
        <v>0</v>
      </c>
      <c r="F60" s="19">
        <v>250</v>
      </c>
      <c r="G60" s="19">
        <f>130</f>
        <v>130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25">
        <v>44</v>
      </c>
      <c r="B61" s="25" t="s">
        <v>307</v>
      </c>
      <c r="C61" s="19">
        <f t="shared" si="1"/>
        <v>375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f>375</f>
        <v>375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25">
        <v>44</v>
      </c>
      <c r="B62" s="25" t="s">
        <v>322</v>
      </c>
      <c r="C62" s="19">
        <f t="shared" si="1"/>
        <v>375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f>375</f>
        <v>375</v>
      </c>
      <c r="N62" s="19">
        <v>0</v>
      </c>
      <c r="O62" s="19">
        <v>0</v>
      </c>
    </row>
    <row r="63" spans="1:15" ht="15" customHeight="1" x14ac:dyDescent="0.2">
      <c r="A63" s="25">
        <v>44</v>
      </c>
      <c r="B63" s="25" t="s">
        <v>332</v>
      </c>
      <c r="C63" s="19">
        <f t="shared" si="1"/>
        <v>375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375</v>
      </c>
    </row>
    <row r="64" spans="1:15" ht="15" customHeight="1" x14ac:dyDescent="0.2">
      <c r="A64" s="25">
        <v>45</v>
      </c>
      <c r="B64" s="25" t="s">
        <v>281</v>
      </c>
      <c r="C64" s="19">
        <f t="shared" si="1"/>
        <v>350</v>
      </c>
      <c r="D64" s="19">
        <v>0</v>
      </c>
      <c r="E64" s="19">
        <v>0</v>
      </c>
      <c r="F64" s="19">
        <v>0</v>
      </c>
      <c r="G64" s="19">
        <f>350</f>
        <v>350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25">
        <v>45</v>
      </c>
      <c r="B65" s="25" t="s">
        <v>258</v>
      </c>
      <c r="C65" s="19">
        <f t="shared" si="1"/>
        <v>350</v>
      </c>
      <c r="D65" s="19">
        <v>0</v>
      </c>
      <c r="E65" s="19">
        <v>350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25">
        <v>45</v>
      </c>
      <c r="B66" s="25" t="s">
        <v>299</v>
      </c>
      <c r="C66" s="19">
        <f t="shared" si="1"/>
        <v>350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350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25">
        <v>46</v>
      </c>
      <c r="B67" s="25" t="s">
        <v>282</v>
      </c>
      <c r="C67" s="19">
        <f t="shared" si="1"/>
        <v>325</v>
      </c>
      <c r="D67" s="19">
        <v>0</v>
      </c>
      <c r="E67" s="19">
        <v>0</v>
      </c>
      <c r="F67" s="19">
        <v>0</v>
      </c>
      <c r="G67" s="19">
        <f>325</f>
        <v>325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25">
        <v>46</v>
      </c>
      <c r="B68" s="25" t="s">
        <v>314</v>
      </c>
      <c r="C68" s="19">
        <f t="shared" si="1"/>
        <v>325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f>325</f>
        <v>325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25">
        <v>47</v>
      </c>
      <c r="B69" s="25" t="s">
        <v>324</v>
      </c>
      <c r="C69" s="19">
        <f t="shared" si="1"/>
        <v>320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f>160</f>
        <v>160</v>
      </c>
      <c r="O69" s="19">
        <v>160</v>
      </c>
    </row>
    <row r="70" spans="1:15" ht="15" customHeight="1" x14ac:dyDescent="0.2">
      <c r="A70" s="25">
        <v>48</v>
      </c>
      <c r="B70" s="25" t="s">
        <v>305</v>
      </c>
      <c r="C70" s="19">
        <f t="shared" si="1"/>
        <v>315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f>115</f>
        <v>115</v>
      </c>
      <c r="K70" s="19">
        <v>0</v>
      </c>
      <c r="L70" s="19">
        <v>0</v>
      </c>
      <c r="M70" s="19">
        <v>0</v>
      </c>
      <c r="N70" s="19">
        <f>200</f>
        <v>200</v>
      </c>
      <c r="O70" s="19">
        <v>0</v>
      </c>
    </row>
    <row r="71" spans="1:15" ht="15" customHeight="1" x14ac:dyDescent="0.2">
      <c r="A71" s="25">
        <v>49</v>
      </c>
      <c r="B71" s="25" t="s">
        <v>323</v>
      </c>
      <c r="C71" s="19">
        <f t="shared" si="1"/>
        <v>300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300</v>
      </c>
      <c r="N71" s="19">
        <v>0</v>
      </c>
      <c r="O71" s="19">
        <v>0</v>
      </c>
    </row>
    <row r="72" spans="1:15" ht="15" customHeight="1" x14ac:dyDescent="0.2">
      <c r="A72" s="25">
        <v>50</v>
      </c>
      <c r="B72" s="25" t="s">
        <v>262</v>
      </c>
      <c r="C72" s="19">
        <f t="shared" ref="C72:C88" si="2">SUM(D72:O72)</f>
        <v>275</v>
      </c>
      <c r="D72" s="19">
        <v>0</v>
      </c>
      <c r="E72" s="19">
        <v>0</v>
      </c>
      <c r="F72" s="19">
        <v>275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</row>
    <row r="73" spans="1:15" ht="15" customHeight="1" x14ac:dyDescent="0.2">
      <c r="A73" s="25">
        <v>50</v>
      </c>
      <c r="B73" s="25" t="s">
        <v>283</v>
      </c>
      <c r="C73" s="19">
        <f t="shared" si="2"/>
        <v>275</v>
      </c>
      <c r="D73" s="19">
        <v>0</v>
      </c>
      <c r="E73" s="19">
        <v>0</v>
      </c>
      <c r="F73" s="19">
        <v>0</v>
      </c>
      <c r="G73" s="19">
        <f>275</f>
        <v>275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</row>
    <row r="74" spans="1:15" ht="15" customHeight="1" x14ac:dyDescent="0.2">
      <c r="A74" s="25">
        <v>51</v>
      </c>
      <c r="B74" s="25" t="s">
        <v>252</v>
      </c>
      <c r="C74" s="19">
        <f t="shared" si="2"/>
        <v>250</v>
      </c>
      <c r="D74" s="19">
        <v>250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</row>
    <row r="75" spans="1:15" ht="15" customHeight="1" x14ac:dyDescent="0.2">
      <c r="A75" s="25">
        <v>52</v>
      </c>
      <c r="B75" s="25" t="s">
        <v>264</v>
      </c>
      <c r="C75" s="19">
        <f t="shared" si="2"/>
        <v>225</v>
      </c>
      <c r="D75" s="19">
        <v>0</v>
      </c>
      <c r="E75" s="19">
        <v>0</v>
      </c>
      <c r="F75" s="19">
        <v>225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</row>
    <row r="76" spans="1:15" ht="15" customHeight="1" x14ac:dyDescent="0.2">
      <c r="A76" s="25">
        <v>53</v>
      </c>
      <c r="B76" s="25" t="s">
        <v>289</v>
      </c>
      <c r="C76" s="19">
        <f t="shared" si="2"/>
        <v>200</v>
      </c>
      <c r="D76" s="19">
        <v>0</v>
      </c>
      <c r="E76" s="19">
        <v>0</v>
      </c>
      <c r="F76" s="19">
        <v>0</v>
      </c>
      <c r="G76" s="19">
        <v>200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</row>
    <row r="77" spans="1:15" ht="15" customHeight="1" x14ac:dyDescent="0.2">
      <c r="A77" s="25">
        <v>54</v>
      </c>
      <c r="B77" s="25" t="s">
        <v>284</v>
      </c>
      <c r="C77" s="19">
        <f t="shared" si="2"/>
        <v>175</v>
      </c>
      <c r="D77" s="19">
        <v>0</v>
      </c>
      <c r="E77" s="19">
        <v>0</v>
      </c>
      <c r="F77" s="19">
        <v>0</v>
      </c>
      <c r="G77" s="19">
        <f>175</f>
        <v>175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</row>
    <row r="78" spans="1:15" ht="15" customHeight="1" x14ac:dyDescent="0.2">
      <c r="A78" s="25">
        <v>54</v>
      </c>
      <c r="B78" s="25" t="s">
        <v>254</v>
      </c>
      <c r="C78" s="19">
        <f t="shared" si="2"/>
        <v>175</v>
      </c>
      <c r="D78" s="19">
        <v>175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</row>
    <row r="79" spans="1:15" ht="15" customHeight="1" x14ac:dyDescent="0.2">
      <c r="A79" s="25">
        <v>55</v>
      </c>
      <c r="B79" s="25" t="s">
        <v>285</v>
      </c>
      <c r="C79" s="19">
        <f t="shared" si="2"/>
        <v>160</v>
      </c>
      <c r="D79" s="19">
        <v>0</v>
      </c>
      <c r="E79" s="19">
        <v>0</v>
      </c>
      <c r="F79" s="19">
        <v>0</v>
      </c>
      <c r="G79" s="19">
        <f>160</f>
        <v>160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</row>
    <row r="80" spans="1:15" ht="15" customHeight="1" x14ac:dyDescent="0.2">
      <c r="A80" s="25">
        <v>56</v>
      </c>
      <c r="B80" s="25" t="s">
        <v>267</v>
      </c>
      <c r="C80" s="19">
        <f t="shared" si="2"/>
        <v>145</v>
      </c>
      <c r="D80" s="19">
        <v>0</v>
      </c>
      <c r="E80" s="19">
        <v>0</v>
      </c>
      <c r="F80" s="19">
        <v>145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</row>
    <row r="81" spans="1:15" ht="15" customHeight="1" x14ac:dyDescent="0.2">
      <c r="A81" s="25">
        <v>56</v>
      </c>
      <c r="B81" s="25" t="s">
        <v>301</v>
      </c>
      <c r="C81" s="19">
        <f t="shared" si="2"/>
        <v>145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145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</row>
    <row r="82" spans="1:15" ht="15" customHeight="1" x14ac:dyDescent="0.2">
      <c r="A82" s="25">
        <v>56</v>
      </c>
      <c r="B82" s="25" t="s">
        <v>312</v>
      </c>
      <c r="C82" s="19">
        <f t="shared" si="2"/>
        <v>145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145</v>
      </c>
      <c r="L82" s="19">
        <v>0</v>
      </c>
      <c r="M82" s="19">
        <v>0</v>
      </c>
      <c r="N82" s="19">
        <v>0</v>
      </c>
      <c r="O82" s="19">
        <v>0</v>
      </c>
    </row>
    <row r="83" spans="1:15" ht="15" customHeight="1" x14ac:dyDescent="0.2">
      <c r="A83" s="25">
        <v>56</v>
      </c>
      <c r="B83" s="25" t="s">
        <v>255</v>
      </c>
      <c r="C83" s="19">
        <f t="shared" si="2"/>
        <v>145</v>
      </c>
      <c r="D83" s="19">
        <v>145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</row>
    <row r="84" spans="1:15" ht="15" customHeight="1" x14ac:dyDescent="0.2">
      <c r="A84" s="25">
        <v>56</v>
      </c>
      <c r="B84" s="25" t="s">
        <v>308</v>
      </c>
      <c r="C84" s="19">
        <f t="shared" si="2"/>
        <v>145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145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</row>
    <row r="85" spans="1:15" ht="15" customHeight="1" x14ac:dyDescent="0.2">
      <c r="A85" s="25">
        <v>57</v>
      </c>
      <c r="B85" s="25" t="s">
        <v>325</v>
      </c>
      <c r="C85" s="19">
        <f t="shared" si="2"/>
        <v>130</v>
      </c>
      <c r="D85" s="19">
        <v>0</v>
      </c>
      <c r="E85" s="19">
        <v>0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f>130</f>
        <v>130</v>
      </c>
      <c r="O85" s="19">
        <v>0</v>
      </c>
    </row>
    <row r="86" spans="1:15" ht="15" customHeight="1" x14ac:dyDescent="0.2">
      <c r="A86" s="25">
        <v>57</v>
      </c>
      <c r="B86" s="25" t="s">
        <v>311</v>
      </c>
      <c r="C86" s="19">
        <f t="shared" si="2"/>
        <v>130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f>130</f>
        <v>130</v>
      </c>
      <c r="L86" s="19">
        <v>0</v>
      </c>
      <c r="M86" s="19">
        <v>0</v>
      </c>
      <c r="N86" s="19">
        <v>0</v>
      </c>
      <c r="O86" s="19">
        <v>0</v>
      </c>
    </row>
    <row r="87" spans="1:15" ht="15" customHeight="1" x14ac:dyDescent="0.2">
      <c r="A87" s="25">
        <v>57</v>
      </c>
      <c r="B87" s="25" t="s">
        <v>256</v>
      </c>
      <c r="C87" s="19">
        <f t="shared" si="2"/>
        <v>130</v>
      </c>
      <c r="D87" s="19">
        <v>130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</row>
    <row r="88" spans="1:15" ht="15" customHeight="1" x14ac:dyDescent="0.2">
      <c r="A88" s="25">
        <v>58</v>
      </c>
      <c r="B88" s="25" t="s">
        <v>269</v>
      </c>
      <c r="C88" s="19">
        <f t="shared" si="2"/>
        <v>115</v>
      </c>
      <c r="D88" s="19">
        <v>0</v>
      </c>
      <c r="E88" s="19">
        <v>0</v>
      </c>
      <c r="F88" s="19">
        <v>115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0</v>
      </c>
      <c r="O88" s="19">
        <v>0</v>
      </c>
    </row>
    <row r="90" spans="1:15" ht="18.75" customHeight="1" x14ac:dyDescent="0.25">
      <c r="A90" s="32" t="s">
        <v>3</v>
      </c>
      <c r="B90" s="33"/>
      <c r="C90" s="3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8.75" customHeight="1" x14ac:dyDescent="0.25">
      <c r="A91" s="34" t="s">
        <v>4</v>
      </c>
      <c r="B91" s="35"/>
      <c r="C91" s="3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</row>
    <row r="92" spans="1:15" ht="18.75" customHeight="1" x14ac:dyDescent="0.25">
      <c r="A92" s="36" t="s">
        <v>5</v>
      </c>
      <c r="B92" s="37"/>
      <c r="C92" s="37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</row>
  </sheetData>
  <sortState ref="A8:O88">
    <sortCondition descending="1" ref="C8:C88"/>
  </sortState>
  <mergeCells count="9">
    <mergeCell ref="A90:C90"/>
    <mergeCell ref="A91:C91"/>
    <mergeCell ref="A92:C9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225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224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45718</v>
      </c>
      <c r="N7" s="2">
        <v>45725</v>
      </c>
      <c r="O7" s="2">
        <v>45732</v>
      </c>
    </row>
    <row r="8" spans="1:15" ht="15" customHeight="1" x14ac:dyDescent="0.2">
      <c r="A8" s="6">
        <v>1</v>
      </c>
      <c r="B8" s="6" t="s">
        <v>189</v>
      </c>
      <c r="C8" s="7">
        <f t="shared" ref="C8:C39" si="0">SUM(D8:O8)</f>
        <v>3900</v>
      </c>
      <c r="D8" s="8">
        <v>375</v>
      </c>
      <c r="E8" s="8">
        <v>0</v>
      </c>
      <c r="F8" s="8">
        <v>375</v>
      </c>
      <c r="G8" s="8">
        <v>575</v>
      </c>
      <c r="H8" s="8">
        <v>0</v>
      </c>
      <c r="I8" s="8">
        <v>475</v>
      </c>
      <c r="J8" s="8">
        <v>425</v>
      </c>
      <c r="K8" s="8">
        <v>0</v>
      </c>
      <c r="L8" s="8">
        <v>425</v>
      </c>
      <c r="M8" s="8">
        <v>475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192</v>
      </c>
      <c r="C9" s="7">
        <f t="shared" si="0"/>
        <v>3875</v>
      </c>
      <c r="D9" s="8">
        <v>275</v>
      </c>
      <c r="E9" s="8">
        <v>350</v>
      </c>
      <c r="F9" s="8">
        <v>425</v>
      </c>
      <c r="G9" s="8">
        <v>350</v>
      </c>
      <c r="H9" s="8">
        <v>425</v>
      </c>
      <c r="I9" s="8">
        <v>350</v>
      </c>
      <c r="J9" s="8">
        <v>375</v>
      </c>
      <c r="K9" s="8">
        <v>0</v>
      </c>
      <c r="L9" s="8">
        <v>375</v>
      </c>
      <c r="M9" s="8">
        <v>300</v>
      </c>
      <c r="N9" s="8">
        <v>375</v>
      </c>
      <c r="O9" s="8">
        <v>275</v>
      </c>
    </row>
    <row r="10" spans="1:15" ht="15" customHeight="1" x14ac:dyDescent="0.2">
      <c r="A10" s="6">
        <v>3</v>
      </c>
      <c r="B10" s="6" t="s">
        <v>204</v>
      </c>
      <c r="C10" s="7">
        <f t="shared" si="0"/>
        <v>2390</v>
      </c>
      <c r="D10" s="8">
        <v>0</v>
      </c>
      <c r="E10" s="8">
        <v>0</v>
      </c>
      <c r="F10" s="8">
        <v>0</v>
      </c>
      <c r="G10" s="8">
        <v>425</v>
      </c>
      <c r="H10" s="8">
        <v>375</v>
      </c>
      <c r="I10" s="8">
        <v>275</v>
      </c>
      <c r="J10" s="8">
        <v>300</v>
      </c>
      <c r="K10" s="8">
        <v>425</v>
      </c>
      <c r="L10" s="8">
        <v>475</v>
      </c>
      <c r="M10" s="8">
        <v>0</v>
      </c>
      <c r="N10" s="8">
        <v>115</v>
      </c>
      <c r="O10" s="8">
        <v>0</v>
      </c>
    </row>
    <row r="11" spans="1:15" ht="15" customHeight="1" x14ac:dyDescent="0.2">
      <c r="A11" s="6">
        <v>4</v>
      </c>
      <c r="B11" s="6" t="s">
        <v>193</v>
      </c>
      <c r="C11" s="7">
        <f t="shared" si="0"/>
        <v>2200</v>
      </c>
      <c r="D11" s="8">
        <v>250</v>
      </c>
      <c r="E11" s="8">
        <v>325</v>
      </c>
      <c r="F11" s="8">
        <v>350</v>
      </c>
      <c r="G11" s="8">
        <v>225</v>
      </c>
      <c r="H11" s="8">
        <v>0</v>
      </c>
      <c r="I11" s="8">
        <v>575</v>
      </c>
      <c r="J11" s="8">
        <v>225</v>
      </c>
      <c r="K11" s="8">
        <v>0</v>
      </c>
      <c r="L11" s="8">
        <v>250</v>
      </c>
      <c r="M11" s="8">
        <v>0</v>
      </c>
      <c r="N11" s="8">
        <v>0</v>
      </c>
      <c r="O11" s="8">
        <v>0</v>
      </c>
    </row>
    <row r="12" spans="1:15" ht="15" customHeight="1" x14ac:dyDescent="0.2">
      <c r="A12" s="6">
        <v>5</v>
      </c>
      <c r="B12" s="6" t="s">
        <v>199</v>
      </c>
      <c r="C12" s="7">
        <f t="shared" si="0"/>
        <v>2175</v>
      </c>
      <c r="D12" s="8">
        <v>0</v>
      </c>
      <c r="E12" s="8">
        <v>0</v>
      </c>
      <c r="F12" s="8">
        <v>575</v>
      </c>
      <c r="G12" s="8">
        <v>375</v>
      </c>
      <c r="H12" s="8">
        <v>250</v>
      </c>
      <c r="I12" s="8">
        <v>425</v>
      </c>
      <c r="J12" s="8">
        <v>325</v>
      </c>
      <c r="K12" s="8">
        <v>0</v>
      </c>
      <c r="L12" s="8">
        <v>0</v>
      </c>
      <c r="M12" s="8">
        <v>0</v>
      </c>
      <c r="N12" s="8">
        <v>0</v>
      </c>
      <c r="O12" s="8">
        <v>225</v>
      </c>
    </row>
    <row r="13" spans="1:15" ht="15" customHeight="1" x14ac:dyDescent="0.2">
      <c r="A13" s="6">
        <v>6</v>
      </c>
      <c r="B13" s="6" t="s">
        <v>187</v>
      </c>
      <c r="C13" s="7">
        <f t="shared" si="0"/>
        <v>2000</v>
      </c>
      <c r="D13" s="8">
        <v>475</v>
      </c>
      <c r="E13" s="8">
        <v>0</v>
      </c>
      <c r="F13" s="8">
        <v>0</v>
      </c>
      <c r="G13" s="8">
        <v>0</v>
      </c>
      <c r="H13" s="8">
        <v>575</v>
      </c>
      <c r="I13" s="8">
        <v>0</v>
      </c>
      <c r="J13" s="8">
        <v>475</v>
      </c>
      <c r="K13" s="8">
        <v>0</v>
      </c>
      <c r="L13" s="8">
        <v>0</v>
      </c>
      <c r="M13" s="8">
        <v>0</v>
      </c>
      <c r="N13" s="8">
        <v>475</v>
      </c>
      <c r="O13" s="8">
        <v>0</v>
      </c>
    </row>
    <row r="14" spans="1:15" ht="15" customHeight="1" x14ac:dyDescent="0.2">
      <c r="A14" s="6">
        <v>7</v>
      </c>
      <c r="B14" s="6" t="s">
        <v>191</v>
      </c>
      <c r="C14" s="7">
        <f t="shared" si="0"/>
        <v>1850</v>
      </c>
      <c r="D14" s="8">
        <v>300</v>
      </c>
      <c r="E14" s="8">
        <v>475</v>
      </c>
      <c r="F14" s="8">
        <v>475</v>
      </c>
      <c r="G14" s="8">
        <v>275</v>
      </c>
      <c r="H14" s="8">
        <v>0</v>
      </c>
      <c r="I14" s="8">
        <v>325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201</v>
      </c>
      <c r="C15" s="7">
        <f t="shared" si="0"/>
        <v>1650</v>
      </c>
      <c r="D15" s="8">
        <v>0</v>
      </c>
      <c r="E15" s="8">
        <v>0</v>
      </c>
      <c r="F15" s="8">
        <v>250</v>
      </c>
      <c r="G15" s="8">
        <v>300</v>
      </c>
      <c r="H15" s="8">
        <v>0</v>
      </c>
      <c r="I15" s="8">
        <v>0</v>
      </c>
      <c r="J15" s="8">
        <v>350</v>
      </c>
      <c r="K15" s="8">
        <v>475</v>
      </c>
      <c r="L15" s="8">
        <v>0</v>
      </c>
      <c r="M15" s="8">
        <v>0</v>
      </c>
      <c r="N15" s="8">
        <v>275</v>
      </c>
      <c r="O15" s="8">
        <v>0</v>
      </c>
    </row>
    <row r="16" spans="1:15" ht="15" customHeight="1" x14ac:dyDescent="0.2">
      <c r="A16" s="6">
        <v>9</v>
      </c>
      <c r="B16" s="6" t="s">
        <v>186</v>
      </c>
      <c r="C16" s="7">
        <f t="shared" si="0"/>
        <v>1500</v>
      </c>
      <c r="D16" s="8">
        <v>575</v>
      </c>
      <c r="E16" s="8">
        <v>0</v>
      </c>
      <c r="F16" s="8">
        <v>0</v>
      </c>
      <c r="G16" s="8">
        <v>0</v>
      </c>
      <c r="H16" s="8">
        <v>350</v>
      </c>
      <c r="I16" s="8">
        <v>0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196</v>
      </c>
      <c r="C17" s="7">
        <f t="shared" si="0"/>
        <v>1350</v>
      </c>
      <c r="D17" s="8">
        <v>0</v>
      </c>
      <c r="E17" s="8">
        <v>425</v>
      </c>
      <c r="F17" s="8">
        <v>325</v>
      </c>
      <c r="G17" s="8">
        <v>325</v>
      </c>
      <c r="H17" s="8">
        <v>0</v>
      </c>
      <c r="I17" s="8">
        <v>0</v>
      </c>
      <c r="J17" s="8">
        <v>275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190</v>
      </c>
      <c r="C18" s="8">
        <f t="shared" si="0"/>
        <v>1175</v>
      </c>
      <c r="D18" s="8">
        <v>325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350</v>
      </c>
      <c r="N18" s="8">
        <v>300</v>
      </c>
      <c r="O18" s="8">
        <v>200</v>
      </c>
    </row>
    <row r="19" spans="1:15" ht="15" customHeight="1" x14ac:dyDescent="0.2">
      <c r="A19" s="6">
        <v>12</v>
      </c>
      <c r="B19" s="6" t="s">
        <v>79</v>
      </c>
      <c r="C19" s="8">
        <f t="shared" si="0"/>
        <v>1100</v>
      </c>
      <c r="D19" s="8">
        <v>350</v>
      </c>
      <c r="E19" s="8">
        <v>0</v>
      </c>
      <c r="F19" s="8">
        <v>275</v>
      </c>
      <c r="G19" s="8">
        <v>0</v>
      </c>
      <c r="H19" s="8">
        <v>475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215</v>
      </c>
      <c r="C20" s="8">
        <f t="shared" si="0"/>
        <v>950</v>
      </c>
      <c r="D20" s="8">
        <v>0</v>
      </c>
      <c r="E20" s="8">
        <v>0</v>
      </c>
      <c r="F20" s="8">
        <v>0</v>
      </c>
      <c r="G20" s="8">
        <v>200</v>
      </c>
      <c r="H20" s="8">
        <v>0</v>
      </c>
      <c r="I20" s="8">
        <v>375</v>
      </c>
      <c r="J20" s="8">
        <v>0</v>
      </c>
      <c r="K20" s="8">
        <v>375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228</v>
      </c>
      <c r="C21" s="8">
        <f t="shared" si="0"/>
        <v>950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425</v>
      </c>
      <c r="N21" s="8">
        <v>200</v>
      </c>
      <c r="O21" s="8">
        <v>325</v>
      </c>
    </row>
    <row r="22" spans="1:15" ht="15" customHeight="1" x14ac:dyDescent="0.2">
      <c r="A22" s="6">
        <v>14</v>
      </c>
      <c r="B22" s="6" t="s">
        <v>229</v>
      </c>
      <c r="C22" s="8">
        <f t="shared" si="0"/>
        <v>750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375</v>
      </c>
      <c r="N22" s="8">
        <v>0</v>
      </c>
      <c r="O22" s="8">
        <v>375</v>
      </c>
    </row>
    <row r="23" spans="1:15" ht="15" customHeight="1" x14ac:dyDescent="0.2">
      <c r="A23" s="6">
        <v>15</v>
      </c>
      <c r="B23" s="6" t="s">
        <v>197</v>
      </c>
      <c r="C23" s="8">
        <f t="shared" si="0"/>
        <v>725</v>
      </c>
      <c r="D23" s="8">
        <v>0</v>
      </c>
      <c r="E23" s="8">
        <v>375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350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231</v>
      </c>
      <c r="C24" s="8">
        <f t="shared" si="0"/>
        <v>720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575</v>
      </c>
      <c r="O24" s="8">
        <v>145</v>
      </c>
    </row>
    <row r="25" spans="1:15" ht="15" customHeight="1" x14ac:dyDescent="0.2">
      <c r="A25" s="6">
        <v>17</v>
      </c>
      <c r="B25" s="6" t="s">
        <v>205</v>
      </c>
      <c r="C25" s="8">
        <f t="shared" si="0"/>
        <v>650</v>
      </c>
      <c r="D25" s="8">
        <v>0</v>
      </c>
      <c r="E25" s="8">
        <v>0</v>
      </c>
      <c r="F25" s="8">
        <v>0</v>
      </c>
      <c r="G25" s="8">
        <v>250</v>
      </c>
      <c r="H25" s="8">
        <v>200</v>
      </c>
      <c r="I25" s="8">
        <v>0</v>
      </c>
      <c r="J25" s="8">
        <v>200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18</v>
      </c>
      <c r="B26" s="6" t="s">
        <v>216</v>
      </c>
      <c r="C26" s="8">
        <f t="shared" si="0"/>
        <v>575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300</v>
      </c>
      <c r="J26" s="8">
        <v>0</v>
      </c>
      <c r="K26" s="8">
        <v>0</v>
      </c>
      <c r="L26" s="8">
        <v>275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18</v>
      </c>
      <c r="B27" s="6" t="s">
        <v>239</v>
      </c>
      <c r="C27" s="8">
        <f t="shared" si="0"/>
        <v>575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575</v>
      </c>
    </row>
    <row r="28" spans="1:15" ht="15" customHeight="1" x14ac:dyDescent="0.2">
      <c r="A28" s="6">
        <v>18</v>
      </c>
      <c r="B28" s="6" t="s">
        <v>219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18</v>
      </c>
      <c r="B29" s="6" t="s">
        <v>195</v>
      </c>
      <c r="C29" s="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18</v>
      </c>
      <c r="B30" s="6" t="s">
        <v>227</v>
      </c>
      <c r="C30" s="8">
        <f t="shared" si="0"/>
        <v>575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575</v>
      </c>
      <c r="N30" s="8">
        <v>0</v>
      </c>
      <c r="O30" s="8">
        <v>0</v>
      </c>
    </row>
    <row r="31" spans="1:15" ht="15" customHeight="1" x14ac:dyDescent="0.2">
      <c r="A31" s="6">
        <v>18</v>
      </c>
      <c r="B31" s="6" t="s">
        <v>221</v>
      </c>
      <c r="C31" s="8">
        <f t="shared" si="0"/>
        <v>575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575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19</v>
      </c>
      <c r="B32" s="6" t="s">
        <v>238</v>
      </c>
      <c r="C32" s="8">
        <f t="shared" si="0"/>
        <v>555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130</v>
      </c>
      <c r="O32" s="8">
        <v>425</v>
      </c>
    </row>
    <row r="33" spans="1:15" ht="15" customHeight="1" x14ac:dyDescent="0.2">
      <c r="A33" s="6">
        <v>20</v>
      </c>
      <c r="B33" s="6" t="s">
        <v>217</v>
      </c>
      <c r="C33" s="8">
        <f t="shared" si="0"/>
        <v>500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175</v>
      </c>
      <c r="K33" s="8">
        <v>0</v>
      </c>
      <c r="L33" s="8">
        <v>325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21</v>
      </c>
      <c r="B34" s="6" t="s">
        <v>134</v>
      </c>
      <c r="C34" s="8">
        <f t="shared" si="0"/>
        <v>475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475</v>
      </c>
    </row>
    <row r="35" spans="1:15" ht="15" customHeight="1" x14ac:dyDescent="0.2">
      <c r="A35" s="6">
        <v>21</v>
      </c>
      <c r="B35" s="6" t="s">
        <v>218</v>
      </c>
      <c r="C35" s="8">
        <f t="shared" si="0"/>
        <v>475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250</v>
      </c>
      <c r="K35" s="8">
        <v>0</v>
      </c>
      <c r="L35" s="8">
        <v>0</v>
      </c>
      <c r="M35" s="8">
        <v>0</v>
      </c>
      <c r="N35" s="8">
        <v>225</v>
      </c>
      <c r="O35" s="8">
        <v>0</v>
      </c>
    </row>
    <row r="36" spans="1:15" ht="15" customHeight="1" x14ac:dyDescent="0.2">
      <c r="A36" s="6">
        <v>21</v>
      </c>
      <c r="B36" s="6" t="s">
        <v>203</v>
      </c>
      <c r="C36" s="8">
        <f t="shared" si="0"/>
        <v>475</v>
      </c>
      <c r="D36" s="8">
        <v>0</v>
      </c>
      <c r="E36" s="8">
        <v>0</v>
      </c>
      <c r="F36" s="8">
        <v>0</v>
      </c>
      <c r="G36" s="8">
        <v>475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22</v>
      </c>
      <c r="B37" s="6" t="s">
        <v>223</v>
      </c>
      <c r="C37" s="8">
        <f t="shared" si="0"/>
        <v>430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300</v>
      </c>
      <c r="M37" s="8">
        <v>0</v>
      </c>
      <c r="N37" s="8">
        <v>0</v>
      </c>
      <c r="O37" s="8">
        <v>130</v>
      </c>
    </row>
    <row r="38" spans="1:15" ht="15" customHeight="1" x14ac:dyDescent="0.2">
      <c r="A38" s="6">
        <v>23</v>
      </c>
      <c r="B38" s="6" t="s">
        <v>188</v>
      </c>
      <c r="C38" s="8">
        <f t="shared" si="0"/>
        <v>425</v>
      </c>
      <c r="D38" s="8">
        <v>425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24</v>
      </c>
      <c r="B39" s="6" t="s">
        <v>232</v>
      </c>
      <c r="C39" s="8">
        <f t="shared" si="0"/>
        <v>350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350</v>
      </c>
      <c r="O39" s="8">
        <v>0</v>
      </c>
    </row>
    <row r="40" spans="1:15" ht="15" customHeight="1" x14ac:dyDescent="0.2">
      <c r="A40" s="6">
        <v>24</v>
      </c>
      <c r="B40" s="6" t="s">
        <v>222</v>
      </c>
      <c r="C40" s="8">
        <f t="shared" ref="C40:C65" si="1">SUM(D40:O40)</f>
        <v>350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350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24</v>
      </c>
      <c r="B41" s="6" t="s">
        <v>235</v>
      </c>
      <c r="C41" s="8">
        <f t="shared" si="1"/>
        <v>350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175</v>
      </c>
      <c r="O41" s="8">
        <v>175</v>
      </c>
    </row>
    <row r="42" spans="1:15" ht="15" customHeight="1" x14ac:dyDescent="0.2">
      <c r="A42" s="6">
        <v>25</v>
      </c>
      <c r="B42" s="6" t="s">
        <v>233</v>
      </c>
      <c r="C42" s="8">
        <f t="shared" si="1"/>
        <v>325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</row>
    <row r="43" spans="1:15" ht="15" customHeight="1" x14ac:dyDescent="0.2">
      <c r="A43" s="6">
        <v>25</v>
      </c>
      <c r="B43" s="6" t="s">
        <v>220</v>
      </c>
      <c r="C43" s="8">
        <f t="shared" si="1"/>
        <v>325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325</v>
      </c>
      <c r="L43" s="8">
        <v>0</v>
      </c>
      <c r="M43" s="8">
        <v>0</v>
      </c>
      <c r="N43" s="8">
        <v>0</v>
      </c>
      <c r="O43" s="8">
        <v>0</v>
      </c>
    </row>
    <row r="44" spans="1:15" ht="15" customHeight="1" x14ac:dyDescent="0.2">
      <c r="A44" s="6">
        <v>25</v>
      </c>
      <c r="B44" s="6" t="s">
        <v>211</v>
      </c>
      <c r="C44" s="8">
        <f t="shared" si="1"/>
        <v>325</v>
      </c>
      <c r="D44" s="8">
        <v>0</v>
      </c>
      <c r="E44" s="8">
        <v>0</v>
      </c>
      <c r="F44" s="8">
        <v>0</v>
      </c>
      <c r="G44" s="8">
        <v>0</v>
      </c>
      <c r="H44" s="8">
        <v>325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</row>
    <row r="45" spans="1:15" ht="15" customHeight="1" x14ac:dyDescent="0.2">
      <c r="A45" s="6">
        <v>25</v>
      </c>
      <c r="B45" s="6" t="s">
        <v>230</v>
      </c>
      <c r="C45" s="8">
        <f t="shared" si="1"/>
        <v>325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325</v>
      </c>
      <c r="N45" s="8">
        <v>0</v>
      </c>
      <c r="O45" s="8">
        <v>0</v>
      </c>
    </row>
    <row r="46" spans="1:15" ht="15" customHeight="1" x14ac:dyDescent="0.2">
      <c r="A46" s="6">
        <v>26</v>
      </c>
      <c r="B46" s="6" t="s">
        <v>240</v>
      </c>
      <c r="C46" s="8">
        <f t="shared" si="1"/>
        <v>300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300</v>
      </c>
    </row>
    <row r="47" spans="1:15" ht="15" customHeight="1" x14ac:dyDescent="0.2">
      <c r="A47" s="6">
        <v>26</v>
      </c>
      <c r="B47" s="6" t="s">
        <v>198</v>
      </c>
      <c r="C47" s="8">
        <f t="shared" si="1"/>
        <v>300</v>
      </c>
      <c r="D47" s="8">
        <v>0</v>
      </c>
      <c r="E47" s="8">
        <v>300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</row>
    <row r="48" spans="1:15" ht="15" customHeight="1" x14ac:dyDescent="0.2">
      <c r="A48" s="6">
        <v>266</v>
      </c>
      <c r="B48" s="6" t="s">
        <v>200</v>
      </c>
      <c r="C48" s="8">
        <f t="shared" si="1"/>
        <v>300</v>
      </c>
      <c r="D48" s="8">
        <v>0</v>
      </c>
      <c r="E48" s="8">
        <v>0</v>
      </c>
      <c r="F48" s="8">
        <v>300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15" customHeight="1" x14ac:dyDescent="0.2">
      <c r="A49" s="6">
        <v>26</v>
      </c>
      <c r="B49" s="6" t="s">
        <v>212</v>
      </c>
      <c r="C49" s="8">
        <f t="shared" si="1"/>
        <v>300</v>
      </c>
      <c r="D49" s="8">
        <v>0</v>
      </c>
      <c r="E49" s="8">
        <v>0</v>
      </c>
      <c r="F49" s="8">
        <v>0</v>
      </c>
      <c r="G49" s="8">
        <v>0</v>
      </c>
      <c r="H49" s="8">
        <v>300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</row>
    <row r="50" spans="1:15" ht="15" customHeight="1" x14ac:dyDescent="0.2">
      <c r="A50" s="6">
        <v>27</v>
      </c>
      <c r="B50" s="6" t="s">
        <v>213</v>
      </c>
      <c r="C50" s="8">
        <f t="shared" si="1"/>
        <v>275</v>
      </c>
      <c r="D50" s="8">
        <v>0</v>
      </c>
      <c r="E50" s="8">
        <v>0</v>
      </c>
      <c r="F50" s="8">
        <v>0</v>
      </c>
      <c r="G50" s="8">
        <v>0</v>
      </c>
      <c r="H50" s="8">
        <v>275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</row>
    <row r="51" spans="1:15" ht="15" customHeight="1" x14ac:dyDescent="0.2">
      <c r="A51" s="6">
        <v>27</v>
      </c>
      <c r="B51" s="6" t="s">
        <v>226</v>
      </c>
      <c r="C51" s="8">
        <f t="shared" si="1"/>
        <v>275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275</v>
      </c>
      <c r="N51" s="8">
        <v>0</v>
      </c>
      <c r="O51" s="8">
        <v>0</v>
      </c>
    </row>
    <row r="52" spans="1:15" ht="15" customHeight="1" x14ac:dyDescent="0.2">
      <c r="A52" s="6">
        <v>28</v>
      </c>
      <c r="B52" s="6" t="s">
        <v>241</v>
      </c>
      <c r="C52" s="8">
        <f t="shared" si="1"/>
        <v>250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250</v>
      </c>
    </row>
    <row r="53" spans="1:15" ht="15" customHeight="1" x14ac:dyDescent="0.2">
      <c r="A53" s="6">
        <v>28</v>
      </c>
      <c r="B53" s="6" t="s">
        <v>234</v>
      </c>
      <c r="C53" s="8">
        <f t="shared" si="1"/>
        <v>250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250</v>
      </c>
      <c r="O53" s="8">
        <v>0</v>
      </c>
    </row>
    <row r="54" spans="1:15" ht="15" customHeight="1" x14ac:dyDescent="0.2">
      <c r="A54" s="6">
        <v>29</v>
      </c>
      <c r="B54" s="6" t="s">
        <v>214</v>
      </c>
      <c r="C54" s="8">
        <f t="shared" si="1"/>
        <v>225</v>
      </c>
      <c r="D54" s="8">
        <v>0</v>
      </c>
      <c r="E54" s="8">
        <v>0</v>
      </c>
      <c r="F54" s="8">
        <v>0</v>
      </c>
      <c r="G54" s="8">
        <v>0</v>
      </c>
      <c r="H54" s="8">
        <v>225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</row>
    <row r="55" spans="1:15" ht="15" customHeight="1" x14ac:dyDescent="0.2">
      <c r="A55" s="6">
        <v>29</v>
      </c>
      <c r="B55" s="6" t="s">
        <v>194</v>
      </c>
      <c r="C55" s="8">
        <f t="shared" si="1"/>
        <v>225</v>
      </c>
      <c r="D55" s="8">
        <v>225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</row>
    <row r="56" spans="1:15" ht="15" customHeight="1" x14ac:dyDescent="0.2">
      <c r="A56" s="6">
        <v>29</v>
      </c>
      <c r="B56" s="6" t="s">
        <v>202</v>
      </c>
      <c r="C56" s="8">
        <f t="shared" si="1"/>
        <v>225</v>
      </c>
      <c r="D56" s="8">
        <v>0</v>
      </c>
      <c r="E56" s="8">
        <v>0</v>
      </c>
      <c r="F56" s="8">
        <v>225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</row>
    <row r="57" spans="1:15" ht="15" customHeight="1" x14ac:dyDescent="0.2">
      <c r="A57" s="6">
        <v>30</v>
      </c>
      <c r="B57" s="6" t="s">
        <v>206</v>
      </c>
      <c r="C57" s="8">
        <f t="shared" si="1"/>
        <v>175</v>
      </c>
      <c r="D57" s="8">
        <v>0</v>
      </c>
      <c r="E57" s="8">
        <v>0</v>
      </c>
      <c r="F57" s="8">
        <v>0</v>
      </c>
      <c r="G57" s="8">
        <v>175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</row>
    <row r="58" spans="1:15" ht="15" customHeight="1" x14ac:dyDescent="0.2">
      <c r="A58" s="6">
        <v>31</v>
      </c>
      <c r="B58" s="6" t="s">
        <v>237</v>
      </c>
      <c r="C58" s="8">
        <f t="shared" si="1"/>
        <v>160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160</v>
      </c>
      <c r="O58" s="8">
        <v>0</v>
      </c>
    </row>
    <row r="59" spans="1:15" ht="15" customHeight="1" x14ac:dyDescent="0.2">
      <c r="A59" s="6">
        <v>31</v>
      </c>
      <c r="B59" s="6" t="s">
        <v>207</v>
      </c>
      <c r="C59" s="8">
        <f t="shared" si="1"/>
        <v>160</v>
      </c>
      <c r="D59" s="8">
        <v>0</v>
      </c>
      <c r="E59" s="8">
        <v>0</v>
      </c>
      <c r="F59" s="8">
        <v>0</v>
      </c>
      <c r="G59" s="8">
        <v>160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</row>
    <row r="60" spans="1:15" ht="15" customHeight="1" x14ac:dyDescent="0.2">
      <c r="A60" s="6">
        <v>31</v>
      </c>
      <c r="B60" s="6" t="s">
        <v>242</v>
      </c>
      <c r="C60" s="8">
        <f t="shared" si="1"/>
        <v>160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160</v>
      </c>
    </row>
    <row r="61" spans="1:15" ht="15" customHeight="1" x14ac:dyDescent="0.2">
      <c r="A61" s="6">
        <v>32</v>
      </c>
      <c r="B61" s="6" t="s">
        <v>208</v>
      </c>
      <c r="C61" s="8">
        <f t="shared" si="1"/>
        <v>145</v>
      </c>
      <c r="D61" s="8">
        <v>0</v>
      </c>
      <c r="E61" s="8">
        <v>0</v>
      </c>
      <c r="F61" s="8">
        <v>0</v>
      </c>
      <c r="G61" s="8">
        <v>145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</row>
    <row r="62" spans="1:15" ht="15" customHeight="1" x14ac:dyDescent="0.2">
      <c r="A62" s="6">
        <v>32</v>
      </c>
      <c r="B62" s="6" t="s">
        <v>236</v>
      </c>
      <c r="C62" s="8">
        <f t="shared" si="1"/>
        <v>145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145</v>
      </c>
      <c r="O62" s="8">
        <v>0</v>
      </c>
    </row>
    <row r="63" spans="1:15" ht="15" customHeight="1" x14ac:dyDescent="0.2">
      <c r="A63" s="10">
        <v>33</v>
      </c>
      <c r="B63" s="10" t="s">
        <v>209</v>
      </c>
      <c r="C63" s="11">
        <f t="shared" si="1"/>
        <v>130</v>
      </c>
      <c r="D63" s="11">
        <v>0</v>
      </c>
      <c r="E63" s="11">
        <v>0</v>
      </c>
      <c r="F63" s="11">
        <v>0</v>
      </c>
      <c r="G63" s="11">
        <v>130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</row>
    <row r="64" spans="1:15" ht="15" customHeight="1" x14ac:dyDescent="0.2">
      <c r="A64" s="10">
        <v>34</v>
      </c>
      <c r="B64" s="10" t="s">
        <v>210</v>
      </c>
      <c r="C64" s="11">
        <f t="shared" si="1"/>
        <v>115</v>
      </c>
      <c r="D64" s="11">
        <v>0</v>
      </c>
      <c r="E64" s="11">
        <v>0</v>
      </c>
      <c r="F64" s="11">
        <v>0</v>
      </c>
      <c r="G64" s="11">
        <v>115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</row>
    <row r="65" spans="1:15" ht="15" customHeight="1" x14ac:dyDescent="0.2">
      <c r="A65" s="10">
        <v>34</v>
      </c>
      <c r="B65" s="10" t="s">
        <v>243</v>
      </c>
      <c r="C65" s="11">
        <f t="shared" si="1"/>
        <v>115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115</v>
      </c>
    </row>
    <row r="67" spans="1:15" ht="18.75" customHeight="1" x14ac:dyDescent="0.25">
      <c r="A67" s="32" t="s">
        <v>3</v>
      </c>
      <c r="B67" s="33"/>
      <c r="C67" s="3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ht="18.75" customHeight="1" x14ac:dyDescent="0.25">
      <c r="A68" s="34" t="s">
        <v>4</v>
      </c>
      <c r="B68" s="35"/>
      <c r="C68" s="3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6" t="s">
        <v>5</v>
      </c>
      <c r="B69" s="37"/>
      <c r="C69" s="37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</sheetData>
  <sortState ref="A8:O65">
    <sortCondition descending="1" ref="C8:C65"/>
  </sortState>
  <mergeCells count="9">
    <mergeCell ref="A67:C67"/>
    <mergeCell ref="A68:C68"/>
    <mergeCell ref="A69:C6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164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177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163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32" t="s">
        <v>3</v>
      </c>
      <c r="B33" s="33"/>
      <c r="C33" s="3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34" t="s">
        <v>4</v>
      </c>
      <c r="B34" s="35"/>
      <c r="C34" s="3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36" t="s">
        <v>5</v>
      </c>
      <c r="B35" s="37"/>
      <c r="C35" s="37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164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173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163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32" t="s">
        <v>3</v>
      </c>
      <c r="B26" s="33"/>
      <c r="C26" s="3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34" t="s">
        <v>4</v>
      </c>
      <c r="B27" s="35"/>
      <c r="C27" s="35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36" t="s">
        <v>5</v>
      </c>
      <c r="B28" s="37"/>
      <c r="C28" s="37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164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168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163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32" t="s">
        <v>3</v>
      </c>
      <c r="B28" s="33"/>
      <c r="C28" s="3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34" t="s">
        <v>4</v>
      </c>
      <c r="B29" s="35"/>
      <c r="C29" s="35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36" t="s">
        <v>5</v>
      </c>
      <c r="B30" s="37"/>
      <c r="C30" s="37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152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160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32" t="s">
        <v>3</v>
      </c>
      <c r="B38" s="33"/>
      <c r="C38" s="3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34" t="s">
        <v>4</v>
      </c>
      <c r="B39" s="35"/>
      <c r="C39" s="3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36" t="s">
        <v>5</v>
      </c>
      <c r="B40" s="37"/>
      <c r="C40" s="37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152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156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32" t="s">
        <v>3</v>
      </c>
      <c r="B44" s="33"/>
      <c r="C44" s="3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34" t="s">
        <v>4</v>
      </c>
      <c r="B45" s="35"/>
      <c r="C45" s="3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36" t="s">
        <v>5</v>
      </c>
      <c r="B46" s="37"/>
      <c r="C46" s="37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</row>
    <row r="2" spans="1:15" ht="45" customHeight="1" x14ac:dyDescent="0.5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3" customHeight="1" x14ac:dyDescent="0.4">
      <c r="A3" s="40" t="s">
        <v>135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30" customHeight="1" x14ac:dyDescent="0.4">
      <c r="A5" s="42" t="s">
        <v>9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16.5" customHeight="1" x14ac:dyDescent="0.2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32" t="s">
        <v>3</v>
      </c>
      <c r="B48" s="33"/>
      <c r="C48" s="3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34" t="s">
        <v>4</v>
      </c>
      <c r="B49" s="35"/>
      <c r="C49" s="3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36" t="s">
        <v>5</v>
      </c>
      <c r="B50" s="37"/>
      <c r="C50" s="3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</row>
    <row r="63" spans="1:15" x14ac:dyDescent="0.2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</row>
    <row r="64" spans="1:15" ht="36" customHeight="1" x14ac:dyDescent="0.5">
      <c r="A64" s="52" t="s">
        <v>17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</row>
    <row r="65" spans="1:15" ht="38.25" customHeight="1" x14ac:dyDescent="0.4">
      <c r="A65" s="54" t="s">
        <v>139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</row>
    <row r="66" spans="1:15" ht="42" customHeight="1" x14ac:dyDescent="0.4">
      <c r="A66" s="56" t="s">
        <v>145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</row>
    <row r="67" spans="1:15" ht="42" customHeight="1" x14ac:dyDescent="0.4">
      <c r="A67" s="49" t="s">
        <v>140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</row>
    <row r="68" spans="1:15" ht="21" customHeight="1" x14ac:dyDescent="0.4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45" t="s">
        <v>4</v>
      </c>
      <c r="B83" s="46"/>
      <c r="C83" s="46"/>
      <c r="D83" s="46"/>
    </row>
    <row r="84" spans="1:7" ht="15" x14ac:dyDescent="0.25">
      <c r="A84" s="47" t="s">
        <v>144</v>
      </c>
      <c r="B84" s="48"/>
      <c r="C84" s="48"/>
      <c r="D84" s="48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9-7-25 - 11-23-25 (2 quarter)</vt:lpstr>
      <vt:lpstr>6-15-25 - 9-2-25 (1 quarter)</vt:lpstr>
      <vt:lpstr>12-15-24 - 3-16-25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'12-15-24 - 3-16-25 (1 quarter)'!Print_Area</vt:lpstr>
      <vt:lpstr>'2-19-23 - 5-21-23 (16 months)'!Print_Area</vt:lpstr>
      <vt:lpstr>'2-4-24 - 4-27-24 (1 quarter)'!Print_Area</vt:lpstr>
      <vt:lpstr>'5-4-24 - 7-20-24 (2 quarter)'!Print_Area</vt:lpstr>
      <vt:lpstr>'6-15-25 - 9-2-25 (1 quarter)'!Print_Area</vt:lpstr>
      <vt:lpstr>'6-4-23 - 9-10-23 (17 month)'!Print_Area</vt:lpstr>
      <vt:lpstr>'7-27-24 - 10-12-24 (3 quarter)'!Print_Area</vt:lpstr>
      <vt:lpstr>'9-7-25 - 11-23-25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2025-09-10T07:17:56Z</cp:lastPrinted>
  <dcterms:created xsi:type="dcterms:W3CDTF">2013-12-12T05:08:35Z</dcterms:created>
  <dcterms:modified xsi:type="dcterms:W3CDTF">2025-09-10T07:31:26Z</dcterms:modified>
</cp:coreProperties>
</file>