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7-25 - 11-23-25 (2 quarter)" sheetId="62" r:id="rId1"/>
    <sheet name="6-15-25 - 9-2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4">'5-4-24 - 7-20-24 (2 quarter)'!$A$1:$O$28</definedName>
    <definedName name="_xlnm.Print_Area" localSheetId="1">'6-15-25 - 9-2-25 (1 quarter)'!$A$1:$O$92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'9-7-25 - 11-23-25 (2 quarter)'!$A$1:$O$66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62" l="1"/>
  <c r="K16" i="62"/>
  <c r="K15" i="62"/>
  <c r="K12" i="62"/>
  <c r="K30" i="62"/>
  <c r="K11" i="62"/>
  <c r="K9" i="62"/>
  <c r="K25" i="62"/>
  <c r="K10" i="62"/>
  <c r="K27" i="62"/>
  <c r="K19" i="62"/>
  <c r="K17" i="62"/>
  <c r="K21" i="62"/>
  <c r="K20" i="62"/>
  <c r="K26" i="62"/>
  <c r="C60" i="62" l="1"/>
  <c r="C59" i="62"/>
  <c r="J13" i="62"/>
  <c r="J8" i="62"/>
  <c r="J9" i="62"/>
  <c r="J32" i="62"/>
  <c r="J15" i="62"/>
  <c r="J18" i="62"/>
  <c r="J11" i="62"/>
  <c r="C39" i="62"/>
  <c r="J29" i="62" l="1"/>
  <c r="J27" i="62"/>
  <c r="J26" i="62"/>
  <c r="J12" i="62"/>
  <c r="J17" i="62"/>
  <c r="J10" i="62"/>
  <c r="J16" i="62"/>
  <c r="J14" i="62"/>
  <c r="J20" i="62"/>
  <c r="I30" i="62"/>
  <c r="I13" i="62"/>
  <c r="I19" i="62"/>
  <c r="I29" i="62"/>
  <c r="I33" i="62"/>
  <c r="I8" i="62"/>
  <c r="I10" i="62"/>
  <c r="I9" i="62"/>
  <c r="I27" i="62"/>
  <c r="I49" i="62" l="1"/>
  <c r="I50" i="62"/>
  <c r="I56" i="62"/>
  <c r="C56" i="62" s="1"/>
  <c r="I53" i="62"/>
  <c r="C53" i="62" s="1"/>
  <c r="I16" i="62"/>
  <c r="I15" i="62"/>
  <c r="C27" i="62"/>
  <c r="H16" i="62" l="1"/>
  <c r="H20" i="62"/>
  <c r="H32" i="62"/>
  <c r="C55" i="62"/>
  <c r="C48" i="62"/>
  <c r="C30" i="62"/>
  <c r="C33" i="62"/>
  <c r="H62" i="62"/>
  <c r="C62" i="62"/>
  <c r="H26" i="62"/>
  <c r="H11" i="62"/>
  <c r="H17" i="62"/>
  <c r="H29" i="62"/>
  <c r="H44" i="62"/>
  <c r="H57" i="62"/>
  <c r="C57" i="62"/>
  <c r="H19" i="62"/>
  <c r="H10" i="62"/>
  <c r="C14" i="62"/>
  <c r="H18" i="62"/>
  <c r="H46" i="62"/>
  <c r="C46" i="62"/>
  <c r="H9" i="62"/>
  <c r="G8" i="62" l="1"/>
  <c r="G23" i="62"/>
  <c r="C38" i="62"/>
  <c r="G11" i="62"/>
  <c r="G12" i="62"/>
  <c r="C37" i="62"/>
  <c r="G20" i="62"/>
  <c r="C28" i="62"/>
  <c r="G29" i="62" l="1"/>
  <c r="G17" i="62"/>
  <c r="G49" i="62"/>
  <c r="C49" i="62" s="1"/>
  <c r="G26" i="62"/>
  <c r="G54" i="62"/>
  <c r="C54" i="62"/>
  <c r="G36" i="62"/>
  <c r="G13" i="62"/>
  <c r="G21" i="62"/>
  <c r="F51" i="62" l="1"/>
  <c r="F25" i="62"/>
  <c r="C25" i="62" s="1"/>
  <c r="C20" i="62"/>
  <c r="C52" i="62"/>
  <c r="F23" i="62"/>
  <c r="F8" i="62"/>
  <c r="F35" i="62"/>
  <c r="C35" i="62" s="1"/>
  <c r="F13" i="62"/>
  <c r="F10" i="62"/>
  <c r="F9" i="62"/>
  <c r="F29" i="62"/>
  <c r="F61" i="62"/>
  <c r="C61" i="62" s="1"/>
  <c r="C51" i="62"/>
  <c r="F17" i="62"/>
  <c r="F21" i="62"/>
  <c r="F15" i="62"/>
  <c r="F16" i="62"/>
  <c r="C16" i="62"/>
  <c r="F18" i="62"/>
  <c r="F40" i="62"/>
  <c r="C40" i="62" s="1"/>
  <c r="E10" i="62"/>
  <c r="C50" i="62"/>
  <c r="E13" i="62"/>
  <c r="E12" i="62"/>
  <c r="E9" i="62"/>
  <c r="E19" i="62"/>
  <c r="E11" i="62"/>
  <c r="E17" i="62"/>
  <c r="E26" i="62"/>
  <c r="C42" i="62"/>
  <c r="E21" i="62" l="1"/>
  <c r="C21" i="62" s="1"/>
  <c r="E44" i="62"/>
  <c r="C44" i="62" s="1"/>
  <c r="C26" i="62"/>
  <c r="C12" i="62"/>
  <c r="E29" i="62"/>
  <c r="C29" i="62" s="1"/>
  <c r="E23" i="62"/>
  <c r="C23" i="62" s="1"/>
  <c r="E45" i="62"/>
  <c r="C45" i="62"/>
  <c r="C13" i="62"/>
  <c r="C17" i="62"/>
  <c r="E36" i="62"/>
  <c r="C22" i="62"/>
  <c r="C10" i="62"/>
  <c r="C19" i="62" l="1"/>
  <c r="C41" i="62"/>
  <c r="C24" i="62"/>
  <c r="C8" i="62"/>
  <c r="C32" i="62"/>
  <c r="C58" i="62"/>
  <c r="C47" i="62"/>
  <c r="C43" i="62"/>
  <c r="C34" i="62"/>
  <c r="C15" i="62"/>
  <c r="C31" i="62"/>
  <c r="C11" i="62"/>
  <c r="C36" i="62"/>
  <c r="C18" i="62"/>
  <c r="C9" i="62"/>
  <c r="O13" i="61" l="1"/>
  <c r="O8" i="61"/>
  <c r="O22" i="61" l="1"/>
  <c r="O28" i="61"/>
  <c r="O30" i="61"/>
  <c r="O52" i="61"/>
  <c r="O38" i="61"/>
  <c r="O10" i="61"/>
  <c r="O16" i="61"/>
  <c r="O9" i="61"/>
  <c r="O25" i="61"/>
  <c r="C63" i="61"/>
  <c r="C53" i="61"/>
  <c r="O14" i="61"/>
  <c r="O18" i="61" l="1"/>
  <c r="O19" i="61"/>
  <c r="O29" i="61"/>
  <c r="O59" i="61"/>
  <c r="O44" i="61"/>
  <c r="O17" i="61"/>
  <c r="O12" i="61"/>
  <c r="O27" i="61"/>
  <c r="N22" i="61" l="1"/>
  <c r="C59" i="61"/>
  <c r="N16" i="61"/>
  <c r="N9" i="61"/>
  <c r="C52" i="61"/>
  <c r="N10" i="61"/>
  <c r="C44" i="61"/>
  <c r="N8" i="61"/>
  <c r="N13" i="61"/>
  <c r="N12" i="61"/>
  <c r="N20" i="61"/>
  <c r="O15" i="61" l="1"/>
  <c r="O36" i="61"/>
  <c r="O20" i="61"/>
  <c r="O11" i="61"/>
  <c r="O39" i="61"/>
  <c r="N85" i="61" l="1"/>
  <c r="C85" i="61" s="1"/>
  <c r="N14" i="61"/>
  <c r="N69" i="61"/>
  <c r="C69" i="61"/>
  <c r="N70" i="61"/>
  <c r="N15" i="61"/>
  <c r="N32" i="61"/>
  <c r="N36" i="61"/>
  <c r="N11" i="61"/>
  <c r="M35" i="61" l="1"/>
  <c r="M14" i="61"/>
  <c r="M23" i="61"/>
  <c r="M12" i="61"/>
  <c r="L26" i="61"/>
  <c r="M13" i="61"/>
  <c r="M22" i="61"/>
  <c r="M9" i="61"/>
  <c r="M8" i="61"/>
  <c r="M16" i="61"/>
  <c r="M24" i="61" l="1"/>
  <c r="M32" i="61"/>
  <c r="C71" i="61"/>
  <c r="M62" i="61"/>
  <c r="C62" i="61"/>
  <c r="M56" i="61"/>
  <c r="C56" i="61"/>
  <c r="M20" i="61"/>
  <c r="L19" i="61"/>
  <c r="L9" i="61"/>
  <c r="C36" i="61"/>
  <c r="L54" i="61"/>
  <c r="L11" i="61"/>
  <c r="L25" i="61"/>
  <c r="L12" i="61"/>
  <c r="L15" i="61"/>
  <c r="L51" i="61"/>
  <c r="C51" i="61" s="1"/>
  <c r="L10" i="61"/>
  <c r="L14" i="61"/>
  <c r="L17" i="61"/>
  <c r="L8" i="61"/>
  <c r="L28" i="61"/>
  <c r="L18" i="61"/>
  <c r="L22" i="61"/>
  <c r="L47" i="61"/>
  <c r="C47" i="61"/>
  <c r="L23" i="61"/>
  <c r="C54" i="61"/>
  <c r="L68" i="61"/>
  <c r="C68" i="61"/>
  <c r="L32" i="61"/>
  <c r="L35" i="61"/>
  <c r="C35" i="61" s="1"/>
  <c r="K13" i="61" l="1"/>
  <c r="C82" i="61"/>
  <c r="K18" i="61"/>
  <c r="K12" i="61"/>
  <c r="K16" i="61"/>
  <c r="K10" i="61"/>
  <c r="K15" i="61"/>
  <c r="K8" i="61"/>
  <c r="K11" i="61"/>
  <c r="K24" i="61"/>
  <c r="K28" i="61" l="1"/>
  <c r="K86" i="61"/>
  <c r="C86" i="61" s="1"/>
  <c r="K32" i="61"/>
  <c r="C32" i="61" s="1"/>
  <c r="K20" i="61"/>
  <c r="K50" i="61"/>
  <c r="J15" i="61"/>
  <c r="C50" i="61"/>
  <c r="J16" i="61"/>
  <c r="C84" i="61"/>
  <c r="J46" i="61"/>
  <c r="J13" i="61"/>
  <c r="J8" i="61"/>
  <c r="J12" i="61"/>
  <c r="J28" i="61"/>
  <c r="J14" i="61"/>
  <c r="J11" i="61"/>
  <c r="J61" i="61"/>
  <c r="C61" i="61"/>
  <c r="J57" i="61"/>
  <c r="C57" i="61" s="1"/>
  <c r="J20" i="61"/>
  <c r="C20" i="61" s="1"/>
  <c r="J45" i="61"/>
  <c r="C45" i="61"/>
  <c r="J70" i="61"/>
  <c r="C70" i="61"/>
  <c r="J33" i="61"/>
  <c r="C46" i="61"/>
  <c r="J18" i="61"/>
  <c r="J10" i="61"/>
  <c r="J22" i="61"/>
  <c r="J49" i="61"/>
  <c r="C49" i="61" s="1"/>
  <c r="I16" i="61"/>
  <c r="I40" i="61"/>
  <c r="C81" i="61"/>
  <c r="I14" i="61"/>
  <c r="I10" i="61"/>
  <c r="C30" i="61"/>
  <c r="I34" i="61"/>
  <c r="C66" i="61"/>
  <c r="I21" i="61"/>
  <c r="I18" i="61"/>
  <c r="I12" i="61"/>
  <c r="I9" i="61"/>
  <c r="I22" i="61" l="1"/>
  <c r="I15" i="61"/>
  <c r="C31" i="61"/>
  <c r="C12" i="61"/>
  <c r="C14" i="61"/>
  <c r="I23" i="61"/>
  <c r="I8" i="61"/>
  <c r="C58" i="61"/>
  <c r="I13" i="61"/>
  <c r="C38" i="61" l="1"/>
  <c r="H10" i="61"/>
  <c r="H15" i="61"/>
  <c r="H9" i="61"/>
  <c r="H23" i="61"/>
  <c r="H8" i="61"/>
  <c r="H24" i="61"/>
  <c r="H16" i="61"/>
  <c r="H11" i="61"/>
  <c r="H21" i="61"/>
  <c r="H18" i="61"/>
  <c r="H22" i="61" l="1"/>
  <c r="C22" i="61" s="1"/>
  <c r="H17" i="61"/>
  <c r="H40" i="61"/>
  <c r="C40" i="61" s="1"/>
  <c r="H28" i="61"/>
  <c r="C28" i="61" s="1"/>
  <c r="H33" i="61"/>
  <c r="H27" i="61"/>
  <c r="G29" i="61"/>
  <c r="C29" i="61" s="1"/>
  <c r="C18" i="61"/>
  <c r="C16" i="61"/>
  <c r="G13" i="61"/>
  <c r="C76" i="61"/>
  <c r="C25" i="61"/>
  <c r="C19" i="61"/>
  <c r="C55" i="61"/>
  <c r="G60" i="61"/>
  <c r="G79" i="61"/>
  <c r="C79" i="61"/>
  <c r="G77" i="61"/>
  <c r="C77" i="61" s="1"/>
  <c r="G42" i="61"/>
  <c r="G8" i="61"/>
  <c r="G73" i="61"/>
  <c r="C73" i="61" s="1"/>
  <c r="G43" i="61"/>
  <c r="G67" i="61"/>
  <c r="C67" i="61" s="1"/>
  <c r="G64" i="61"/>
  <c r="C64" i="61" s="1"/>
  <c r="G39" i="61"/>
  <c r="C39" i="61" s="1"/>
  <c r="G27" i="61"/>
  <c r="G37" i="61"/>
  <c r="G17" i="61"/>
  <c r="C17" i="61" s="1"/>
  <c r="C88" i="61"/>
  <c r="C80" i="61"/>
  <c r="C11" i="61"/>
  <c r="C15" i="61"/>
  <c r="C75" i="61"/>
  <c r="C60" i="61"/>
  <c r="C72" i="61"/>
  <c r="C43" i="61"/>
  <c r="C26" i="61"/>
  <c r="C27" i="61" l="1"/>
  <c r="C24" i="61"/>
  <c r="C65" i="61"/>
  <c r="C42" i="61"/>
  <c r="C87" i="61" l="1"/>
  <c r="C83" i="61"/>
  <c r="C78" i="61"/>
  <c r="C41" i="61"/>
  <c r="C13" i="61"/>
  <c r="C37" i="61"/>
  <c r="C48" i="61" l="1"/>
  <c r="C8" i="61" l="1"/>
  <c r="C74" i="61"/>
  <c r="C21" i="61"/>
  <c r="C33" i="61"/>
  <c r="C9" i="61" l="1"/>
  <c r="C34" i="61"/>
  <c r="C10" i="61"/>
  <c r="C2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<sst xmlns="http://schemas.openxmlformats.org/spreadsheetml/2006/main" count="720" uniqueCount="369">
  <si>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</si>
  <si>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</si>
  <si>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</si>
  <si>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</si>
  <si>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</si>
  <si>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</si>
  <si>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</si>
  <si>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</si>
  <si>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</si>
  <si>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</si>
  <si>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</si>
  <si>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</si>
  <si>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</si>
  <si>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</si>
  <si>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</si>
  <si>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</si>
  <si>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</si>
  <si>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</si>
  <si>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</si>
  <si>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</si>
  <si>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</si>
  <si>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</si>
  <si>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</si>
  <si>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</si>
  <si>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</si>
  <si>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</si>
  <si>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</si>
  <si>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</si>
  <si>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</si>
  <si>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</si>
  <si>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</si>
  <si>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</si>
  <si>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</si>
  <si>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</si>
  <si>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</si>
  <si>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</si>
  <si>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</si>
  <si>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</si>
  <si>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</si>
  <si>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</si>
  <si>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</si>
  <si>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</si>
  <si>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</si>
  <si>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</si>
  <si>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</si>
  <si>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</si>
  <si>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</si>
  <si>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</si>
  <si>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</si>
  <si>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</si>
  <si>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</si>
  <si>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</si>
  <si>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</si>
  <si>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</si>
  <si>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</si>
  <si>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</si>
  <si>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</si>
  <si>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</si>
  <si>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</si>
  <si>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</si>
  <si>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</si>
  <si>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</si>
  <si>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</si>
  <si>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</si>
  <si>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</si>
  <si>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</si>
  <si>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</si>
  <si>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</si>
  <si>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</si>
  <si>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</si>
  <si>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</si>
  <si>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</si>
  <si>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</si>
  <si>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</si>
  <si>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</si>
  <si>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</si>
  <si>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</si>
  <si>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</si>
  <si>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</si>
  <si>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</si>
  <si>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</si>
  <si>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</si>
  <si>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</si>
  <si>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</si>
  <si>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</si>
  <si>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</si>
  <si>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</si>
  <si>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</si>
  <si>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</si>
  <si>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</si>
  <si>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</si>
  <si>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</si>
  <si>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</si>
  <si>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</si>
  <si>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</si>
  <si>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</si>
  <si>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</si>
  <si>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</si>
  <si>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</si>
  <si>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</si>
  <si>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</si>
  <si>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</si>
  <si>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</si>
  <si>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</si>
  <si>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</si>
  <si>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</si>
  <si>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</si>
  <si>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</si>
  <si>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</si>
  <si>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</si>
  <si>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</si>
  <si>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</si>
  <si>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</si>
  <si>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</si>
  <si>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</si>
  <si>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</si>
  <si>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</si>
  <si>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</si>
  <si>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</si>
  <si>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</si>
  <si>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</si>
  <si>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</si>
  <si>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</si>
  <si>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</si>
  <si>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</si>
  <si>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</si>
  <si>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</si>
  <si>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</si>
  <si>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</si>
  <si>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</si>
  <si>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</si>
  <si>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</si>
  <si>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</si>
  <si>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</si>
  <si>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</si>
  <si>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</si>
  <si>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</si>
  <si>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</si>
  <si>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</si>
  <si>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</si>
  <si>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</si>
  <si>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</si>
  <si>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</si>
  <si>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</si>
  <si>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</si>
  <si>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</si>
  <si>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</si>
  <si>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</si>
  <si>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</si>
  <si>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</si>
  <si>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</si>
  <si>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</si>
  <si>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</si>
  <si>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</si>
  <si>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</si>
  <si>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</si>
  <si>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</si>
  <si>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</si>
  <si>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</si>
  <si>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</si>
  <si>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</si>
  <si>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</si>
  <si>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</si>
  <si>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</si>
  <si>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</si>
  <si>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</si>
  <si>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</si>
  <si>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</si>
  <si>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</si>
  <si>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</si>
  <si>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</si>
  <si>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</si>
  <si>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</si>
  <si>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</si>
  <si>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</si>
  <si>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</si>
  <si>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</si>
  <si>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</si>
  <si>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</si>
  <si>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</si>
  <si>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</si>
  <si>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</si>
  <si>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</si>
  <si>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</si>
  <si>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</si>
  <si>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</si>
  <si>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</si>
  <si>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</si>
  <si>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</si>
  <si>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</si>
  <si>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</si>
  <si>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</si>
  <si>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</si>
  <si>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</si>
  <si>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</si>
  <si>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</si>
  <si>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</si>
  <si>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</si>
  <si>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</si>
  <si>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</si>
  <si>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</si>
  <si>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</si>
  <si>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</si>
  <si>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</si>
  <si>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</si>
  <si>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</si>
  <si>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</si>
  <si>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</si>
  <si>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</si>
  <si>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</si>
  <si>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</si>
  <si>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</si>
  <si>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</si>
  <si>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</si>
  <si>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</si>
  <si>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</si>
  <si>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</si>
  <si>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</si>
  <si>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</si>
  <si>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</si>
  <si>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</si>
  <si>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</si>
  <si>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</si>
  <si>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</si>
  <si>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</si>
  <si>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</si>
  <si>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</si>
  <si>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</si>
  <si>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</si>
  <si>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</si>
  <si>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</si>
  <si>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</si>
  <si>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</si>
  <si>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</si>
  <si>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</si>
  <si>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</si>
  <si>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</si>
  <si>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</si>
  <si>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</si>
  <si>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</si>
  <si>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</si>
  <si>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</si>
  <si>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</si>
  <si>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</si>
  <si>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</si>
  <si>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</si>
  <si>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</si>
  <si>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</si>
  <si>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</si>
  <si>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</si>
  <si>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</si>
  <si>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</si>
  <si>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</si>
  <si>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</si>
  <si>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</si>
  <si>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</si>
  <si>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</si>
  <si>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</si>
  <si>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</si>
  <si>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</si>
  <si>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</si>
  <si>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</si>
  <si>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</si>
  <si>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</si>
  <si>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</si>
  <si>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</si>
  <si>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</si>
  <si>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</si>
  <si>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</si>
  <si>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</si>
  <si>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</si>
  <si>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</si>
  <si>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</si>
  <si>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</si>
  <si>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</si>
  <si>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</si>
  <si>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</si>
  <si>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</si>
  <si>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</si>
  <si>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</si>
  <si>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</si>
  <si>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</si>
  <si>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</si>
  <si>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</si>
  <si>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</si>
  <si>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</si>
  <si>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</si>
  <si>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</si>
  <si>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</si>
  <si>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</si>
  <si>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</si>
  <si>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</si>
  <si>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</si>
  <si>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</si>
  <si>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</si>
  <si>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</si>
  <si>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</si>
  <si>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</si>
  <si>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</si>
  <si>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</si>
  <si>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</si>
  <si>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</si>
  <si>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</si>
  <si>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</si>
  <si>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</si>
  <si>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</si>
  <si>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</si>
  <si>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</si>
  <si>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</si>
  <si>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</si>
  <si>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</si>
  <si>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</si>
  <si>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</si>
  <si>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</si>
  <si>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</si>
  <si>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</si>
  <si>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</si>
  <si>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</si>
  <si>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</si>
  <si>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</si>
  <si>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</si>
  <si>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</si>
  <si>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</si>
  <si>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</si>
  <si>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</si>
  <si>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</si>
  <si>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</si>
  <si>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</si>
  <si>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</si>
  <si>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</si>
  <si>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</si>
  <si>
    <t>Printz, Wally</t>
  </si>
  <si>
    <t>Thomas, James</t>
  </si>
  <si>
    <t>9/9 - 9/14</t>
  </si>
  <si>
    <t>9/16 - 9/21</t>
  </si>
  <si>
    <t>9/23 - 9/28</t>
  </si>
  <si>
    <t>9/30 - 10/5</t>
  </si>
  <si>
    <t>10/7 - 10/12</t>
  </si>
  <si>
    <t>10/14 - 10/19</t>
  </si>
  <si>
    <t>10/21 - 10/26</t>
  </si>
  <si>
    <t>10/28 - 11/2</t>
  </si>
  <si>
    <t>11/4 - 11/9</t>
  </si>
  <si>
    <t>11/11 - 11/16</t>
  </si>
  <si>
    <t>11/18 - 11/23</t>
  </si>
  <si>
    <t>QUARTERLY EVENT:  TUESDAY 11/25/25</t>
  </si>
  <si>
    <t>$420 CASH PRIZE</t>
  </si>
  <si>
    <t>Bremer, Missy</t>
  </si>
  <si>
    <t>Bueno, Rickey</t>
  </si>
  <si>
    <t>Bowen, Wade</t>
  </si>
  <si>
    <t>Turner, Chad</t>
  </si>
  <si>
    <t>Dennis, Jay</t>
  </si>
  <si>
    <t>Martinez, Matthew</t>
  </si>
  <si>
    <t>Nichols, Jeremy</t>
  </si>
  <si>
    <t>Korhauser, Bobby</t>
  </si>
  <si>
    <t>Mallet, Marcus</t>
  </si>
  <si>
    <t>Brbynak, Sanjin</t>
  </si>
  <si>
    <t>Benvides, Paul</t>
  </si>
  <si>
    <t>Becker, Aric</t>
  </si>
  <si>
    <t>Giles, Stephanie</t>
  </si>
  <si>
    <t>Bowen, Missy</t>
  </si>
  <si>
    <t>Duckak, Melinda</t>
  </si>
  <si>
    <t>Brooks, Michael</t>
  </si>
  <si>
    <t>Draplik, Kelly</t>
  </si>
  <si>
    <t>Draplik, Joe</t>
  </si>
  <si>
    <t>Diamond, Alex</t>
  </si>
  <si>
    <t>Saucier, Dontrell</t>
  </si>
  <si>
    <t>Burkett, Brandon</t>
  </si>
  <si>
    <t>Gonzalez, Antonio</t>
  </si>
  <si>
    <t>Howey, Ramond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</si>
</sst>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1" fontId="40" fillId="0" borderId="10" xfId="37" applyNumberFormat="1" applyFont="1" applyFill="1" applyBorder="1" applyAlignment="1">
      <alignment horizontal="center" wrapText="1"/>
    </xf>
    <xf numFmtId="0" fontId="39" fillId="26" borderId="10" xfId="0" applyFont="1" applyFill="1" applyBorder="1" applyAlignment="1">
      <alignment horizontal="center" wrapText="1"/>
    </xf>
    <xf numFmtId="1" fontId="40" fillId="26" borderId="10" xfId="37" applyNumberFormat="1" applyFont="1" applyFill="1" applyBorder="1" applyAlignment="1">
      <alignment horizontal="center" wrapText="1"/>
    </xf>
    <xf numFmtId="1" fontId="40" fillId="27" borderId="10" xfId="37" applyNumberFormat="1" applyFont="1" applyFill="1" applyBorder="1" applyAlignment="1">
      <alignment horizontal="center" wrapText="1"/>
    </xf>
    <xf numFmtId="0" fontId="39" fillId="28" borderId="10" xfId="0" applyFont="1" applyFill="1" applyBorder="1" applyAlignment="1">
      <alignment horizontal="center" wrapText="1"/>
    </xf>
    <xf numFmtId="1" fontId="40" fillId="28" borderId="10" xfId="37" applyNumberFormat="1" applyFont="1" applyFill="1" applyBorder="1" applyAlignment="1">
      <alignment horizontal="center" wrapText="1"/>
    </xf>
    <xf numFmtId="0" fontId="39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24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>
      <selection activeCell="L8" sqref="L8"/>
    </sheetView>
  </sheetViews>
  <sheetFormatPr defaultRowHeight="12.75" x14ac:dyDescent="0.2"/>
  <cols>
    <col min="1" max="1" width="5.7109375" customWidth="1"/>
    <col min="2" max="2" width="16" customWidth="1"/>
    <col min="3" max="3" width="8" customWidth="1"/>
    <col min="4" max="4" width="6.7109375" customWidth="1"/>
    <col min="5" max="8" width="7.85546875" customWidth="1"/>
    <col min="9" max="15" width="9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344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345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26" t="s">
        <v>1</v>
      </c>
      <c r="B7" s="26" t="s">
        <v>0</v>
      </c>
      <c r="C7" s="26" t="s">
        <v>2</v>
      </c>
      <c r="D7" s="27">
        <v>45907</v>
      </c>
      <c r="E7" s="27" t="s">
        <v>333</v>
      </c>
      <c r="F7" s="27" t="s">
        <v>334</v>
      </c>
      <c r="G7" s="27" t="s">
        <v>335</v>
      </c>
      <c r="H7" s="27" t="s">
        <v>336</v>
      </c>
      <c r="I7" s="27" t="s">
        <v>337</v>
      </c>
      <c r="J7" s="27" t="s">
        <v>338</v>
      </c>
      <c r="K7" s="27" t="s">
        <v>339</v>
      </c>
      <c r="L7" s="27" t="s">
        <v>340</v>
      </c>
      <c r="M7" s="27" t="s">
        <v>341</v>
      </c>
      <c r="N7" s="27" t="s">
        <v>342</v>
      </c>
      <c r="O7" s="27" t="s">
        <v>343</v>
      </c>
    </row>
    <row r="8" spans="1:15" ht="15" customHeight="1" x14ac:dyDescent="0.25">
      <c r="A8" s="29">
        <v>1</v>
      </c>
      <c r="B8" s="29" t="s">
        <v>320</v>
      </c>
      <c r="C8" s="31">
        <f>SUM(D8:O8)</f>
        <v>3540</v>
      </c>
      <c r="D8" s="28">
        <v>575</v>
      </c>
      <c r="E8" s="28">
        <v>0</v>
      </c>
      <c r="F8" s="28">
        <f>160+325</f>
        <v>485</v>
      </c>
      <c r="G8" s="28">
        <f>425+130</f>
        <v>555</v>
      </c>
      <c r="H8" s="28">
        <v>425</v>
      </c>
      <c r="I8" s="28">
        <f>350+350</f>
        <v>700</v>
      </c>
      <c r="J8" s="28">
        <f>250+200</f>
        <v>450</v>
      </c>
      <c r="K8" s="28">
        <f>350</f>
        <v>350</v>
      </c>
      <c r="L8" s="28"/>
      <c r="M8" s="28"/>
      <c r="N8" s="28"/>
      <c r="O8" s="28"/>
    </row>
    <row r="9" spans="1:15" ht="15" customHeight="1" x14ac:dyDescent="0.25">
      <c r="A9" s="29">
        <v>2</v>
      </c>
      <c r="B9" s="29" t="s">
        <v>248</v>
      </c>
      <c r="C9" s="31">
        <f>SUM(D9:O9)</f>
        <v>3525</v>
      </c>
      <c r="D9" s="28">
        <v>225</v>
      </c>
      <c r="E9" s="28">
        <f>325+225</f>
        <v>550</v>
      </c>
      <c r="F9" s="28">
        <f>225</f>
        <v>225</v>
      </c>
      <c r="G9" s="28">
        <v>425</v>
      </c>
      <c r="H9" s="28">
        <f>425</f>
        <v>425</v>
      </c>
      <c r="I9" s="28">
        <f>325+475</f>
        <v>800</v>
      </c>
      <c r="J9" s="28">
        <f>350+225</f>
        <v>575</v>
      </c>
      <c r="K9" s="28">
        <f>300</f>
        <v>300</v>
      </c>
      <c r="L9" s="28"/>
      <c r="M9" s="28"/>
      <c r="N9" s="28"/>
      <c r="O9" s="28"/>
    </row>
    <row r="10" spans="1:15" ht="15" customHeight="1" x14ac:dyDescent="0.25">
      <c r="A10" s="29">
        <v>3</v>
      </c>
      <c r="B10" s="29" t="s">
        <v>249</v>
      </c>
      <c r="C10" s="31">
        <f>SUM(D10:O10)</f>
        <v>2935</v>
      </c>
      <c r="D10" s="28">
        <v>0</v>
      </c>
      <c r="E10" s="28">
        <f>475+115</f>
        <v>590</v>
      </c>
      <c r="F10" s="28">
        <f>300+575</f>
        <v>875</v>
      </c>
      <c r="G10" s="28">
        <v>225</v>
      </c>
      <c r="H10" s="28">
        <f>300</f>
        <v>300</v>
      </c>
      <c r="I10" s="28">
        <f>145+375</f>
        <v>520</v>
      </c>
      <c r="J10" s="28">
        <f>200</f>
        <v>200</v>
      </c>
      <c r="K10" s="28">
        <f>225</f>
        <v>225</v>
      </c>
      <c r="L10" s="28"/>
      <c r="M10" s="28"/>
      <c r="N10" s="28"/>
      <c r="O10" s="28"/>
    </row>
    <row r="11" spans="1:15" ht="15" customHeight="1" x14ac:dyDescent="0.25">
      <c r="A11" s="29">
        <v>4</v>
      </c>
      <c r="B11" s="29" t="s">
        <v>296</v>
      </c>
      <c r="C11" s="31">
        <f>SUM(D11:O11)</f>
        <v>2915</v>
      </c>
      <c r="D11" s="28">
        <v>275</v>
      </c>
      <c r="E11" s="28">
        <f>145+300</f>
        <v>445</v>
      </c>
      <c r="F11" s="28">
        <v>200</v>
      </c>
      <c r="G11" s="28">
        <f>300+275</f>
        <v>575</v>
      </c>
      <c r="H11" s="28">
        <f>145</f>
        <v>145</v>
      </c>
      <c r="I11" s="28">
        <v>0</v>
      </c>
      <c r="J11" s="28">
        <f>475+475</f>
        <v>950</v>
      </c>
      <c r="K11" s="28">
        <f>325</f>
        <v>325</v>
      </c>
      <c r="L11" s="28"/>
      <c r="M11" s="28"/>
      <c r="N11" s="28"/>
      <c r="O11" s="28"/>
    </row>
    <row r="12" spans="1:15" ht="15" customHeight="1" x14ac:dyDescent="0.25">
      <c r="A12" s="29">
        <v>5</v>
      </c>
      <c r="B12" s="29" t="s">
        <v>347</v>
      </c>
      <c r="C12" s="31">
        <f>SUM(D12:O12)</f>
        <v>2760</v>
      </c>
      <c r="D12" s="28">
        <v>0</v>
      </c>
      <c r="E12" s="28">
        <f>200+160</f>
        <v>360</v>
      </c>
      <c r="F12" s="28">
        <v>425</v>
      </c>
      <c r="G12" s="28">
        <f>275+325</f>
        <v>600</v>
      </c>
      <c r="H12" s="28">
        <v>200</v>
      </c>
      <c r="I12" s="28">
        <v>425</v>
      </c>
      <c r="J12" s="28">
        <f>275</f>
        <v>275</v>
      </c>
      <c r="K12" s="28">
        <f>475</f>
        <v>475</v>
      </c>
      <c r="L12" s="28"/>
      <c r="M12" s="28"/>
      <c r="N12" s="28"/>
      <c r="O12" s="28"/>
    </row>
    <row r="13" spans="1:15" ht="15" customHeight="1" x14ac:dyDescent="0.25">
      <c r="A13" s="29">
        <v>6</v>
      </c>
      <c r="B13" s="29" t="s">
        <v>346</v>
      </c>
      <c r="C13" s="31">
        <f>SUM(D13:O13)</f>
        <v>2455</v>
      </c>
      <c r="D13" s="28">
        <v>0</v>
      </c>
      <c r="E13" s="28">
        <f>275+145</f>
        <v>420</v>
      </c>
      <c r="F13" s="28">
        <f>200+375</f>
        <v>575</v>
      </c>
      <c r="G13" s="28">
        <f>475</f>
        <v>475</v>
      </c>
      <c r="H13" s="28">
        <v>0</v>
      </c>
      <c r="I13" s="28">
        <f>425+160</f>
        <v>585</v>
      </c>
      <c r="J13" s="28">
        <f>225+175</f>
        <v>400</v>
      </c>
      <c r="K13" s="28">
        <v>0</v>
      </c>
      <c r="L13" s="28"/>
      <c r="M13" s="28"/>
      <c r="N13" s="28"/>
      <c r="O13" s="28"/>
    </row>
    <row r="14" spans="1:15" ht="15" customHeight="1" x14ac:dyDescent="0.25">
      <c r="A14" s="29">
        <v>7</v>
      </c>
      <c r="B14" s="29" t="s">
        <v>257</v>
      </c>
      <c r="C14" s="31">
        <f>SUM(D14:O14)</f>
        <v>2330</v>
      </c>
      <c r="D14" s="28">
        <v>160</v>
      </c>
      <c r="E14" s="28">
        <v>475</v>
      </c>
      <c r="F14" s="28">
        <v>145</v>
      </c>
      <c r="G14" s="28">
        <v>475</v>
      </c>
      <c r="H14" s="28">
        <v>375</v>
      </c>
      <c r="I14" s="28">
        <v>275</v>
      </c>
      <c r="J14" s="28">
        <f>425</f>
        <v>425</v>
      </c>
      <c r="K14" s="28">
        <v>0</v>
      </c>
      <c r="L14" s="28"/>
      <c r="M14" s="28"/>
      <c r="N14" s="28"/>
      <c r="O14" s="28"/>
    </row>
    <row r="15" spans="1:15" ht="15" customHeight="1" x14ac:dyDescent="0.25">
      <c r="A15" s="29">
        <v>8</v>
      </c>
      <c r="B15" s="29" t="s">
        <v>303</v>
      </c>
      <c r="C15" s="31">
        <f>SUM(D15:O15)</f>
        <v>2145</v>
      </c>
      <c r="D15" s="28">
        <v>130</v>
      </c>
      <c r="E15" s="28">
        <v>0</v>
      </c>
      <c r="F15" s="28">
        <f>325</f>
        <v>325</v>
      </c>
      <c r="G15" s="28">
        <v>0</v>
      </c>
      <c r="H15" s="28">
        <v>475</v>
      </c>
      <c r="I15" s="28">
        <f>375</f>
        <v>375</v>
      </c>
      <c r="J15" s="28">
        <f>115+300</f>
        <v>415</v>
      </c>
      <c r="K15" s="28">
        <f>425</f>
        <v>425</v>
      </c>
      <c r="L15" s="28"/>
      <c r="M15" s="28"/>
      <c r="N15" s="28"/>
      <c r="O15" s="28"/>
    </row>
    <row r="16" spans="1:15" ht="15" customHeight="1" x14ac:dyDescent="0.25">
      <c r="A16" s="29">
        <v>9</v>
      </c>
      <c r="B16" s="29" t="s">
        <v>353</v>
      </c>
      <c r="C16" s="31">
        <f>SUM(D16:O16)</f>
        <v>2090</v>
      </c>
      <c r="D16" s="28">
        <v>0</v>
      </c>
      <c r="E16" s="28">
        <v>0</v>
      </c>
      <c r="F16" s="28">
        <f>350</f>
        <v>350</v>
      </c>
      <c r="G16" s="28">
        <v>0</v>
      </c>
      <c r="H16" s="28">
        <f>575+115</f>
        <v>690</v>
      </c>
      <c r="I16" s="28">
        <f>300</f>
        <v>300</v>
      </c>
      <c r="J16" s="28">
        <f>375</f>
        <v>375</v>
      </c>
      <c r="K16" s="28">
        <f>375</f>
        <v>375</v>
      </c>
      <c r="L16" s="28"/>
      <c r="M16" s="28"/>
      <c r="N16" s="28"/>
      <c r="O16" s="28"/>
    </row>
    <row r="17" spans="1:15" ht="15" customHeight="1" x14ac:dyDescent="0.25">
      <c r="A17" s="29">
        <v>10</v>
      </c>
      <c r="B17" s="29" t="s">
        <v>297</v>
      </c>
      <c r="C17" s="31">
        <f>SUM(D17:O17)</f>
        <v>2085</v>
      </c>
      <c r="D17" s="28">
        <v>0</v>
      </c>
      <c r="E17" s="28">
        <f>350+325</f>
        <v>675</v>
      </c>
      <c r="F17" s="28">
        <f>250</f>
        <v>250</v>
      </c>
      <c r="G17" s="28">
        <f>175</f>
        <v>175</v>
      </c>
      <c r="H17" s="28">
        <f>200</f>
        <v>200</v>
      </c>
      <c r="I17" s="28">
        <v>325</v>
      </c>
      <c r="J17" s="28">
        <f>300</f>
        <v>300</v>
      </c>
      <c r="K17" s="28">
        <f>160</f>
        <v>160</v>
      </c>
      <c r="L17" s="28"/>
      <c r="M17" s="28"/>
      <c r="N17" s="28"/>
      <c r="O17" s="28"/>
    </row>
    <row r="18" spans="1:15" ht="15" customHeight="1" x14ac:dyDescent="0.25">
      <c r="A18" s="29">
        <v>11</v>
      </c>
      <c r="B18" s="29" t="s">
        <v>229</v>
      </c>
      <c r="C18" s="30">
        <f>SUM(D18:O18)</f>
        <v>2025</v>
      </c>
      <c r="D18" s="28">
        <v>250</v>
      </c>
      <c r="E18" s="28">
        <v>350</v>
      </c>
      <c r="F18" s="28">
        <f>425</f>
        <v>425</v>
      </c>
      <c r="G18" s="28">
        <v>0</v>
      </c>
      <c r="H18" s="28">
        <f>350</f>
        <v>350</v>
      </c>
      <c r="I18" s="28">
        <v>0</v>
      </c>
      <c r="J18" s="28">
        <f>325+325</f>
        <v>650</v>
      </c>
      <c r="K18" s="28">
        <v>0</v>
      </c>
      <c r="L18" s="28"/>
      <c r="M18" s="28"/>
      <c r="N18" s="28"/>
      <c r="O18" s="28"/>
    </row>
    <row r="19" spans="1:15" ht="15" customHeight="1" x14ac:dyDescent="0.25">
      <c r="A19" s="29">
        <v>12</v>
      </c>
      <c r="B19" s="29" t="s">
        <v>316</v>
      </c>
      <c r="C19" s="30">
        <f>SUM(D19:O19)</f>
        <v>2015</v>
      </c>
      <c r="D19" s="28">
        <v>115</v>
      </c>
      <c r="E19" s="28">
        <f>575+250</f>
        <v>825</v>
      </c>
      <c r="F19" s="28">
        <v>0</v>
      </c>
      <c r="G19" s="28">
        <v>200</v>
      </c>
      <c r="H19" s="28">
        <f>275</f>
        <v>275</v>
      </c>
      <c r="I19" s="28">
        <f>250+175</f>
        <v>425</v>
      </c>
      <c r="J19" s="28">
        <v>0</v>
      </c>
      <c r="K19" s="28">
        <f>175</f>
        <v>175</v>
      </c>
      <c r="L19" s="28"/>
      <c r="M19" s="28"/>
      <c r="N19" s="28"/>
      <c r="O19" s="28"/>
    </row>
    <row r="20" spans="1:15" ht="15" customHeight="1" x14ac:dyDescent="0.25">
      <c r="A20" s="29">
        <v>13</v>
      </c>
      <c r="B20" s="29" t="s">
        <v>356</v>
      </c>
      <c r="C20" s="30">
        <f>SUM(D20:O20)</f>
        <v>1960</v>
      </c>
      <c r="D20" s="28">
        <v>0</v>
      </c>
      <c r="E20" s="28">
        <v>0</v>
      </c>
      <c r="F20" s="28">
        <v>250</v>
      </c>
      <c r="G20" s="28">
        <f>325+375</f>
        <v>700</v>
      </c>
      <c r="H20" s="28">
        <f>160+145</f>
        <v>305</v>
      </c>
      <c r="I20" s="28">
        <v>0</v>
      </c>
      <c r="J20" s="28">
        <f>575</f>
        <v>575</v>
      </c>
      <c r="K20" s="28">
        <f>130</f>
        <v>130</v>
      </c>
      <c r="L20" s="28"/>
      <c r="M20" s="28"/>
      <c r="N20" s="28"/>
      <c r="O20" s="28"/>
    </row>
    <row r="21" spans="1:15" ht="15" customHeight="1" x14ac:dyDescent="0.25">
      <c r="A21" s="29">
        <v>14</v>
      </c>
      <c r="B21" s="29" t="s">
        <v>349</v>
      </c>
      <c r="C21" s="30">
        <f>SUM(D21:O21)</f>
        <v>1830</v>
      </c>
      <c r="D21" s="28">
        <v>0</v>
      </c>
      <c r="E21" s="28">
        <f>130</f>
        <v>130</v>
      </c>
      <c r="F21" s="28">
        <f>275</f>
        <v>275</v>
      </c>
      <c r="G21" s="28">
        <f>575</f>
        <v>575</v>
      </c>
      <c r="H21" s="28">
        <v>130</v>
      </c>
      <c r="I21" s="28">
        <v>575</v>
      </c>
      <c r="J21" s="28">
        <v>0</v>
      </c>
      <c r="K21" s="28">
        <f>145</f>
        <v>145</v>
      </c>
      <c r="L21" s="28"/>
      <c r="M21" s="28"/>
      <c r="N21" s="28"/>
      <c r="O21" s="28"/>
    </row>
    <row r="22" spans="1:15" ht="15" customHeight="1" x14ac:dyDescent="0.25">
      <c r="A22" s="29">
        <v>15</v>
      </c>
      <c r="B22" s="29" t="s">
        <v>244</v>
      </c>
      <c r="C22" s="30">
        <f>SUM(D22:O22)</f>
        <v>1675</v>
      </c>
      <c r="D22" s="28">
        <v>375</v>
      </c>
      <c r="E22" s="28">
        <v>575</v>
      </c>
      <c r="F22" s="28">
        <v>475</v>
      </c>
      <c r="G22" s="28">
        <v>0</v>
      </c>
      <c r="H22" s="28">
        <v>250</v>
      </c>
      <c r="I22" s="28">
        <v>0</v>
      </c>
      <c r="J22" s="28">
        <v>0</v>
      </c>
      <c r="K22" s="28">
        <v>0</v>
      </c>
      <c r="L22" s="28"/>
      <c r="M22" s="28"/>
      <c r="N22" s="28"/>
      <c r="O22" s="28"/>
    </row>
    <row r="23" spans="1:15" ht="15" customHeight="1" x14ac:dyDescent="0.25">
      <c r="A23" s="29">
        <v>16</v>
      </c>
      <c r="B23" s="29" t="s">
        <v>324</v>
      </c>
      <c r="C23" s="30">
        <f>SUM(D23:O23)</f>
        <v>1560</v>
      </c>
      <c r="D23" s="28">
        <v>0</v>
      </c>
      <c r="E23" s="28">
        <f>250</f>
        <v>250</v>
      </c>
      <c r="F23" s="28">
        <f>375+300</f>
        <v>675</v>
      </c>
      <c r="G23" s="28">
        <f>375+145</f>
        <v>520</v>
      </c>
      <c r="H23" s="28">
        <v>0</v>
      </c>
      <c r="I23" s="28">
        <v>0</v>
      </c>
      <c r="J23" s="28">
        <v>115</v>
      </c>
      <c r="K23" s="28">
        <v>0</v>
      </c>
      <c r="L23" s="28"/>
      <c r="M23" s="28"/>
      <c r="N23" s="28"/>
      <c r="O23" s="28"/>
    </row>
    <row r="24" spans="1:15" ht="15" customHeight="1" x14ac:dyDescent="0.25">
      <c r="A24" s="29">
        <v>17</v>
      </c>
      <c r="B24" s="29" t="s">
        <v>319</v>
      </c>
      <c r="C24" s="30">
        <f>SUM(D24:O24)</f>
        <v>1540</v>
      </c>
      <c r="D24" s="28">
        <v>300</v>
      </c>
      <c r="E24" s="28">
        <v>175</v>
      </c>
      <c r="F24" s="28">
        <v>175</v>
      </c>
      <c r="G24" s="28">
        <v>115</v>
      </c>
      <c r="H24" s="28">
        <v>300</v>
      </c>
      <c r="I24" s="28">
        <v>200</v>
      </c>
      <c r="J24" s="28">
        <v>275</v>
      </c>
      <c r="K24" s="28">
        <v>0</v>
      </c>
      <c r="L24" s="28"/>
      <c r="M24" s="28"/>
      <c r="N24" s="28"/>
      <c r="O24" s="28"/>
    </row>
    <row r="25" spans="1:15" ht="15" customHeight="1" x14ac:dyDescent="0.25">
      <c r="A25" s="29">
        <v>18</v>
      </c>
      <c r="B25" s="29" t="s">
        <v>268</v>
      </c>
      <c r="C25" s="30">
        <f>SUM(D25:O25)</f>
        <v>1505</v>
      </c>
      <c r="D25" s="28">
        <v>0</v>
      </c>
      <c r="E25" s="28">
        <v>200</v>
      </c>
      <c r="F25" s="28">
        <f>145+160</f>
        <v>305</v>
      </c>
      <c r="G25" s="28">
        <v>300</v>
      </c>
      <c r="H25" s="28">
        <v>0</v>
      </c>
      <c r="I25" s="28">
        <v>0</v>
      </c>
      <c r="J25" s="28">
        <v>425</v>
      </c>
      <c r="K25" s="28">
        <f>275</f>
        <v>275</v>
      </c>
      <c r="L25" s="28"/>
      <c r="M25" s="28"/>
      <c r="N25" s="28"/>
      <c r="O25" s="28"/>
    </row>
    <row r="26" spans="1:15" ht="15" customHeight="1" x14ac:dyDescent="0.25">
      <c r="A26" s="29">
        <v>19</v>
      </c>
      <c r="B26" s="29" t="s">
        <v>280</v>
      </c>
      <c r="C26" s="30">
        <f>SUM(D26:O26)</f>
        <v>1405</v>
      </c>
      <c r="D26" s="28">
        <v>0</v>
      </c>
      <c r="E26" s="28">
        <f>175+375</f>
        <v>550</v>
      </c>
      <c r="F26" s="28">
        <v>225</v>
      </c>
      <c r="G26" s="28">
        <f>225</f>
        <v>225</v>
      </c>
      <c r="H26" s="28">
        <f>130</f>
        <v>130</v>
      </c>
      <c r="I26" s="28">
        <v>0</v>
      </c>
      <c r="J26" s="28">
        <f>160</f>
        <v>160</v>
      </c>
      <c r="K26" s="28">
        <f>115</f>
        <v>115</v>
      </c>
      <c r="L26" s="28"/>
      <c r="M26" s="28"/>
      <c r="N26" s="28"/>
      <c r="O26" s="28"/>
    </row>
    <row r="27" spans="1:15" ht="15" customHeight="1" x14ac:dyDescent="0.25">
      <c r="A27" s="29">
        <v>20</v>
      </c>
      <c r="B27" s="29" t="s">
        <v>318</v>
      </c>
      <c r="C27" s="30">
        <f>SUM(D27:O27)</f>
        <v>1395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f>475+575</f>
        <v>1050</v>
      </c>
      <c r="J27" s="28">
        <f>145</f>
        <v>145</v>
      </c>
      <c r="K27" s="28">
        <f>200</f>
        <v>200</v>
      </c>
      <c r="L27" s="28"/>
      <c r="M27" s="28"/>
      <c r="N27" s="28"/>
      <c r="O27" s="28"/>
    </row>
    <row r="28" spans="1:15" ht="15" customHeight="1" x14ac:dyDescent="0.25">
      <c r="A28" s="29">
        <v>21</v>
      </c>
      <c r="B28" s="29" t="s">
        <v>265</v>
      </c>
      <c r="C28" s="30">
        <f>SUM(D28:O28)</f>
        <v>1350</v>
      </c>
      <c r="D28" s="28">
        <v>200</v>
      </c>
      <c r="E28" s="28">
        <v>0</v>
      </c>
      <c r="F28" s="28">
        <v>0</v>
      </c>
      <c r="G28" s="28">
        <v>575</v>
      </c>
      <c r="H28" s="28">
        <v>575</v>
      </c>
      <c r="I28" s="28">
        <v>0</v>
      </c>
      <c r="J28" s="28">
        <v>0</v>
      </c>
      <c r="K28" s="28">
        <v>0</v>
      </c>
      <c r="L28" s="28"/>
      <c r="M28" s="28"/>
      <c r="N28" s="28"/>
      <c r="O28" s="28"/>
    </row>
    <row r="29" spans="1:15" ht="15" customHeight="1" x14ac:dyDescent="0.25">
      <c r="A29" s="29">
        <v>22</v>
      </c>
      <c r="B29" s="29" t="s">
        <v>294</v>
      </c>
      <c r="C29" s="30">
        <f>SUM(D29:O29)</f>
        <v>1255</v>
      </c>
      <c r="D29" s="28">
        <v>0</v>
      </c>
      <c r="E29" s="28">
        <f>225</f>
        <v>225</v>
      </c>
      <c r="F29" s="28">
        <f>115</f>
        <v>115</v>
      </c>
      <c r="G29" s="28">
        <f>160</f>
        <v>160</v>
      </c>
      <c r="H29" s="28">
        <f>225</f>
        <v>225</v>
      </c>
      <c r="I29" s="28">
        <f>175+225</f>
        <v>400</v>
      </c>
      <c r="J29" s="28">
        <f>130</f>
        <v>130</v>
      </c>
      <c r="K29" s="28">
        <v>0</v>
      </c>
      <c r="L29" s="28"/>
      <c r="M29" s="28"/>
      <c r="N29" s="28"/>
      <c r="O29" s="28"/>
    </row>
    <row r="30" spans="1:15" ht="15" customHeight="1" x14ac:dyDescent="0.25">
      <c r="A30" s="29">
        <v>23</v>
      </c>
      <c r="B30" s="29" t="s">
        <v>246</v>
      </c>
      <c r="C30" s="30">
        <f>SUM(D30:O30)</f>
        <v>1185</v>
      </c>
      <c r="D30" s="28">
        <v>0</v>
      </c>
      <c r="E30" s="28">
        <v>0</v>
      </c>
      <c r="F30" s="28">
        <v>0</v>
      </c>
      <c r="G30" s="28">
        <v>0</v>
      </c>
      <c r="H30" s="28">
        <v>350</v>
      </c>
      <c r="I30" s="28">
        <f>130+130</f>
        <v>260</v>
      </c>
      <c r="J30" s="28">
        <v>0</v>
      </c>
      <c r="K30" s="28">
        <f>575</f>
        <v>575</v>
      </c>
      <c r="L30" s="28"/>
      <c r="M30" s="28"/>
      <c r="N30" s="28"/>
      <c r="O30" s="28"/>
    </row>
    <row r="31" spans="1:15" ht="15" customHeight="1" x14ac:dyDescent="0.25">
      <c r="A31" s="29">
        <v>24</v>
      </c>
      <c r="B31" s="29" t="s">
        <v>288</v>
      </c>
      <c r="C31" s="30">
        <f>SUM(D31:O31)</f>
        <v>1175</v>
      </c>
      <c r="D31" s="28">
        <v>145</v>
      </c>
      <c r="E31" s="28">
        <v>275</v>
      </c>
      <c r="F31" s="28">
        <v>0</v>
      </c>
      <c r="G31" s="28">
        <v>175</v>
      </c>
      <c r="H31" s="28">
        <v>275</v>
      </c>
      <c r="I31" s="28">
        <v>145</v>
      </c>
      <c r="J31" s="28">
        <v>160</v>
      </c>
      <c r="K31" s="28">
        <v>0</v>
      </c>
      <c r="L31" s="28"/>
      <c r="M31" s="28"/>
      <c r="N31" s="28"/>
      <c r="O31" s="28"/>
    </row>
    <row r="32" spans="1:15" ht="15" customHeight="1" x14ac:dyDescent="0.25">
      <c r="A32" s="29">
        <v>25</v>
      </c>
      <c r="B32" s="29" t="s">
        <v>298</v>
      </c>
      <c r="C32" s="30">
        <f>SUM(D32:O32)</f>
        <v>1025</v>
      </c>
      <c r="D32" s="28">
        <v>0</v>
      </c>
      <c r="E32" s="28">
        <v>0</v>
      </c>
      <c r="F32" s="28">
        <v>0</v>
      </c>
      <c r="G32" s="28">
        <v>0</v>
      </c>
      <c r="H32" s="28">
        <f>325+160</f>
        <v>485</v>
      </c>
      <c r="I32" s="28">
        <v>115</v>
      </c>
      <c r="J32" s="28">
        <f>175+250</f>
        <v>425</v>
      </c>
      <c r="K32" s="28">
        <v>0</v>
      </c>
      <c r="L32" s="28"/>
      <c r="M32" s="28"/>
      <c r="N32" s="28"/>
      <c r="O32" s="28"/>
    </row>
    <row r="33" spans="1:15" ht="15" customHeight="1" x14ac:dyDescent="0.25">
      <c r="A33" s="29">
        <v>26</v>
      </c>
      <c r="B33" s="29" t="s">
        <v>361</v>
      </c>
      <c r="C33" s="30">
        <f>SUM(D33:O33)</f>
        <v>1000</v>
      </c>
      <c r="D33" s="28">
        <v>0</v>
      </c>
      <c r="E33" s="28">
        <v>0</v>
      </c>
      <c r="F33" s="28">
        <v>0</v>
      </c>
      <c r="G33" s="28">
        <v>0</v>
      </c>
      <c r="H33" s="28">
        <v>475</v>
      </c>
      <c r="I33" s="28">
        <f>225+300</f>
        <v>525</v>
      </c>
      <c r="J33" s="28">
        <v>0</v>
      </c>
      <c r="K33" s="28">
        <v>0</v>
      </c>
      <c r="L33" s="28"/>
      <c r="M33" s="28"/>
      <c r="N33" s="28"/>
      <c r="O33" s="28"/>
    </row>
    <row r="34" spans="1:15" ht="15" customHeight="1" x14ac:dyDescent="0.25">
      <c r="A34" s="29">
        <v>27</v>
      </c>
      <c r="B34" s="29" t="s">
        <v>317</v>
      </c>
      <c r="C34" s="30">
        <f>SUM(D34:O34)</f>
        <v>860</v>
      </c>
      <c r="D34" s="28">
        <v>325</v>
      </c>
      <c r="E34" s="28">
        <v>0</v>
      </c>
      <c r="F34" s="28">
        <v>0</v>
      </c>
      <c r="G34" s="28">
        <v>160</v>
      </c>
      <c r="H34" s="28">
        <v>0</v>
      </c>
      <c r="I34" s="28">
        <v>0</v>
      </c>
      <c r="J34" s="28">
        <v>375</v>
      </c>
      <c r="K34" s="28">
        <v>0</v>
      </c>
      <c r="L34" s="28"/>
      <c r="M34" s="28"/>
      <c r="N34" s="28"/>
      <c r="O34" s="28"/>
    </row>
    <row r="35" spans="1:15" ht="15" customHeight="1" x14ac:dyDescent="0.25">
      <c r="A35" s="29">
        <v>28</v>
      </c>
      <c r="B35" s="29" t="s">
        <v>292</v>
      </c>
      <c r="C35" s="30">
        <f>SUM(D35:O35)</f>
        <v>825</v>
      </c>
      <c r="D35" s="28">
        <v>0</v>
      </c>
      <c r="E35" s="28">
        <v>0</v>
      </c>
      <c r="F35" s="28">
        <f>475+350</f>
        <v>825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/>
      <c r="M35" s="28"/>
      <c r="N35" s="28"/>
      <c r="O35" s="28"/>
    </row>
    <row r="36" spans="1:15" ht="15" customHeight="1" x14ac:dyDescent="0.25">
      <c r="A36" s="29">
        <v>29</v>
      </c>
      <c r="B36" s="29" t="s">
        <v>357</v>
      </c>
      <c r="C36" s="30">
        <f>SUM(D36:O36)</f>
        <v>775</v>
      </c>
      <c r="D36" s="28">
        <v>0</v>
      </c>
      <c r="E36" s="28">
        <f>425</f>
        <v>425</v>
      </c>
      <c r="F36" s="28">
        <v>0</v>
      </c>
      <c r="G36" s="28">
        <f>350</f>
        <v>350</v>
      </c>
      <c r="H36" s="28">
        <v>0</v>
      </c>
      <c r="I36" s="28">
        <v>0</v>
      </c>
      <c r="J36" s="28">
        <v>0</v>
      </c>
      <c r="K36" s="28">
        <v>0</v>
      </c>
      <c r="L36" s="28"/>
      <c r="M36" s="28"/>
      <c r="N36" s="28"/>
      <c r="O36" s="28"/>
    </row>
    <row r="37" spans="1:15" ht="15" customHeight="1" x14ac:dyDescent="0.25">
      <c r="A37" s="29">
        <v>30</v>
      </c>
      <c r="B37" s="29" t="s">
        <v>368</v>
      </c>
      <c r="C37" s="30">
        <f>SUM(D37:O37)</f>
        <v>725</v>
      </c>
      <c r="D37" s="28">
        <v>200</v>
      </c>
      <c r="E37" s="28">
        <v>0</v>
      </c>
      <c r="F37" s="28">
        <v>0</v>
      </c>
      <c r="G37" s="28">
        <v>350</v>
      </c>
      <c r="H37" s="28">
        <v>175</v>
      </c>
      <c r="I37" s="28">
        <v>0</v>
      </c>
      <c r="J37" s="28">
        <v>0</v>
      </c>
      <c r="K37" s="28">
        <v>0</v>
      </c>
      <c r="L37" s="28"/>
      <c r="M37" s="28"/>
      <c r="N37" s="28"/>
      <c r="O37" s="28"/>
    </row>
    <row r="38" spans="1:15" ht="15" customHeight="1" x14ac:dyDescent="0.25">
      <c r="A38" s="29">
        <v>31</v>
      </c>
      <c r="B38" s="29" t="s">
        <v>295</v>
      </c>
      <c r="C38" s="30">
        <f>SUM(D38:O38)</f>
        <v>600</v>
      </c>
      <c r="D38" s="28">
        <v>0</v>
      </c>
      <c r="E38" s="28">
        <v>0</v>
      </c>
      <c r="F38" s="28">
        <v>0</v>
      </c>
      <c r="G38" s="28">
        <v>250</v>
      </c>
      <c r="H38" s="28">
        <v>0</v>
      </c>
      <c r="I38" s="28">
        <v>0</v>
      </c>
      <c r="J38" s="28">
        <v>350</v>
      </c>
      <c r="K38" s="28">
        <v>0</v>
      </c>
      <c r="L38" s="28"/>
      <c r="M38" s="28"/>
      <c r="N38" s="28"/>
      <c r="O38" s="28"/>
    </row>
    <row r="39" spans="1:15" ht="15" customHeight="1" x14ac:dyDescent="0.25">
      <c r="A39" s="29">
        <v>32</v>
      </c>
      <c r="B39" s="29" t="s">
        <v>366</v>
      </c>
      <c r="C39" s="30">
        <f>SUM(D39:O39)</f>
        <v>575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575</v>
      </c>
      <c r="K39" s="28">
        <v>0</v>
      </c>
      <c r="L39" s="28"/>
      <c r="M39" s="28"/>
      <c r="N39" s="28"/>
      <c r="O39" s="28"/>
    </row>
    <row r="40" spans="1:15" ht="15" customHeight="1" x14ac:dyDescent="0.25">
      <c r="A40" s="29">
        <v>32</v>
      </c>
      <c r="B40" s="29" t="s">
        <v>352</v>
      </c>
      <c r="C40" s="30">
        <f>SUM(D40:O40)</f>
        <v>575</v>
      </c>
      <c r="D40" s="28">
        <v>0</v>
      </c>
      <c r="E40" s="28">
        <v>0</v>
      </c>
      <c r="F40" s="28">
        <f>575</f>
        <v>575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/>
      <c r="M40" s="28"/>
      <c r="N40" s="28"/>
      <c r="O40" s="28"/>
    </row>
    <row r="41" spans="1:15" ht="15" customHeight="1" x14ac:dyDescent="0.25">
      <c r="A41" s="32">
        <v>33</v>
      </c>
      <c r="B41" s="32" t="s">
        <v>199</v>
      </c>
      <c r="C41" s="33">
        <f>SUM(D41:O41)</f>
        <v>475</v>
      </c>
      <c r="D41" s="28">
        <v>475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/>
      <c r="M41" s="28"/>
      <c r="N41" s="28"/>
      <c r="O41" s="28"/>
    </row>
    <row r="42" spans="1:15" ht="15" customHeight="1" x14ac:dyDescent="0.25">
      <c r="A42" s="32">
        <v>34</v>
      </c>
      <c r="B42" s="32" t="s">
        <v>350</v>
      </c>
      <c r="C42" s="33">
        <f>SUM(D42:O42)</f>
        <v>425</v>
      </c>
      <c r="D42" s="28">
        <v>0</v>
      </c>
      <c r="E42" s="28">
        <v>425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/>
      <c r="M42" s="28"/>
      <c r="N42" s="28"/>
      <c r="O42" s="28"/>
    </row>
    <row r="43" spans="1:15" ht="15" customHeight="1" x14ac:dyDescent="0.25">
      <c r="A43" s="32">
        <v>34</v>
      </c>
      <c r="B43" s="32" t="s">
        <v>260</v>
      </c>
      <c r="C43" s="33">
        <f>SUM(D43:O43)</f>
        <v>425</v>
      </c>
      <c r="D43" s="28">
        <v>425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/>
      <c r="M43" s="28"/>
      <c r="N43" s="28"/>
      <c r="O43" s="28"/>
    </row>
    <row r="44" spans="1:15" ht="15" customHeight="1" x14ac:dyDescent="0.25">
      <c r="A44" s="32">
        <v>35</v>
      </c>
      <c r="B44" s="32" t="s">
        <v>348</v>
      </c>
      <c r="C44" s="33">
        <f>SUM(D44:O44)</f>
        <v>410</v>
      </c>
      <c r="D44" s="28">
        <v>0</v>
      </c>
      <c r="E44" s="28">
        <f>160</f>
        <v>160</v>
      </c>
      <c r="F44" s="28">
        <v>0</v>
      </c>
      <c r="G44" s="28">
        <v>0</v>
      </c>
      <c r="H44" s="28">
        <f>250</f>
        <v>250</v>
      </c>
      <c r="I44" s="28">
        <v>0</v>
      </c>
      <c r="J44" s="28">
        <v>0</v>
      </c>
      <c r="K44" s="28">
        <v>0</v>
      </c>
      <c r="L44" s="28"/>
      <c r="M44" s="28"/>
      <c r="N44" s="28"/>
      <c r="O44" s="28"/>
    </row>
    <row r="45" spans="1:15" ht="15" customHeight="1" x14ac:dyDescent="0.25">
      <c r="A45" s="32">
        <v>36</v>
      </c>
      <c r="B45" s="32" t="s">
        <v>291</v>
      </c>
      <c r="C45" s="33">
        <f>SUM(D45:O45)</f>
        <v>375</v>
      </c>
      <c r="D45" s="28">
        <v>0</v>
      </c>
      <c r="E45" s="28">
        <f>375</f>
        <v>375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/>
      <c r="M45" s="28"/>
      <c r="N45" s="28"/>
      <c r="O45" s="28"/>
    </row>
    <row r="46" spans="1:15" ht="15" customHeight="1" x14ac:dyDescent="0.25">
      <c r="A46" s="32">
        <v>36</v>
      </c>
      <c r="B46" s="32" t="s">
        <v>195</v>
      </c>
      <c r="C46" s="33">
        <f>SUM(D46:O46)</f>
        <v>375</v>
      </c>
      <c r="D46" s="28">
        <v>0</v>
      </c>
      <c r="E46" s="28">
        <v>0</v>
      </c>
      <c r="F46" s="28">
        <v>0</v>
      </c>
      <c r="G46" s="28">
        <v>0</v>
      </c>
      <c r="H46" s="28">
        <f>375</f>
        <v>375</v>
      </c>
      <c r="I46" s="28">
        <v>0</v>
      </c>
      <c r="J46" s="28">
        <v>0</v>
      </c>
      <c r="K46" s="28">
        <v>0</v>
      </c>
      <c r="L46" s="28"/>
      <c r="M46" s="28"/>
      <c r="N46" s="28"/>
      <c r="O46" s="28"/>
    </row>
    <row r="47" spans="1:15" ht="15" customHeight="1" x14ac:dyDescent="0.25">
      <c r="A47" s="32">
        <v>37</v>
      </c>
      <c r="B47" s="32" t="s">
        <v>279</v>
      </c>
      <c r="C47" s="33">
        <f>SUM(D47:O47)</f>
        <v>350</v>
      </c>
      <c r="D47" s="28">
        <v>350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/>
      <c r="M47" s="28"/>
      <c r="N47" s="28"/>
      <c r="O47" s="28"/>
    </row>
    <row r="48" spans="1:15" ht="15" customHeight="1" x14ac:dyDescent="0.25">
      <c r="A48" s="32">
        <v>38</v>
      </c>
      <c r="B48" s="32" t="s">
        <v>362</v>
      </c>
      <c r="C48" s="33">
        <f>SUM(D48:O48)</f>
        <v>325</v>
      </c>
      <c r="D48" s="28">
        <v>0</v>
      </c>
      <c r="E48" s="28">
        <v>0</v>
      </c>
      <c r="F48" s="28">
        <v>0</v>
      </c>
      <c r="G48" s="28">
        <v>0</v>
      </c>
      <c r="H48" s="28">
        <v>325</v>
      </c>
      <c r="I48" s="28">
        <v>0</v>
      </c>
      <c r="J48" s="28">
        <v>0</v>
      </c>
      <c r="K48" s="28">
        <v>0</v>
      </c>
      <c r="L48" s="28"/>
      <c r="M48" s="28"/>
      <c r="N48" s="28"/>
      <c r="O48" s="28"/>
    </row>
    <row r="49" spans="1:15" ht="15" customHeight="1" x14ac:dyDescent="0.25">
      <c r="A49" s="32">
        <v>39</v>
      </c>
      <c r="B49" s="32" t="s">
        <v>358</v>
      </c>
      <c r="C49" s="33">
        <f>SUM(D49:O49)</f>
        <v>315</v>
      </c>
      <c r="D49" s="28">
        <v>0</v>
      </c>
      <c r="E49" s="28">
        <v>0</v>
      </c>
      <c r="F49" s="28">
        <v>0</v>
      </c>
      <c r="G49" s="28">
        <f>200</f>
        <v>200</v>
      </c>
      <c r="H49" s="28">
        <v>0</v>
      </c>
      <c r="I49" s="28">
        <f>115</f>
        <v>115</v>
      </c>
      <c r="J49" s="28">
        <v>0</v>
      </c>
      <c r="K49" s="28">
        <v>0</v>
      </c>
      <c r="L49" s="28"/>
      <c r="M49" s="28"/>
      <c r="N49" s="28"/>
      <c r="O49" s="28"/>
    </row>
    <row r="50" spans="1:15" ht="15" customHeight="1" x14ac:dyDescent="0.25">
      <c r="A50" s="32">
        <v>40</v>
      </c>
      <c r="B50" s="32" t="s">
        <v>351</v>
      </c>
      <c r="C50" s="33">
        <f>SUM(D50:O50)</f>
        <v>290</v>
      </c>
      <c r="D50" s="28">
        <v>0</v>
      </c>
      <c r="E50" s="28">
        <v>130</v>
      </c>
      <c r="F50" s="28">
        <v>0</v>
      </c>
      <c r="G50" s="28">
        <v>0</v>
      </c>
      <c r="H50" s="28">
        <v>0</v>
      </c>
      <c r="I50" s="28">
        <f>160</f>
        <v>160</v>
      </c>
      <c r="J50" s="28">
        <v>0</v>
      </c>
      <c r="K50" s="28">
        <v>0</v>
      </c>
      <c r="L50" s="28"/>
      <c r="M50" s="28"/>
      <c r="N50" s="28"/>
      <c r="O50" s="28"/>
    </row>
    <row r="51" spans="1:15" ht="15" customHeight="1" x14ac:dyDescent="0.25">
      <c r="A51" s="32">
        <v>41</v>
      </c>
      <c r="B51" s="32" t="s">
        <v>332</v>
      </c>
      <c r="C51" s="33">
        <f>SUM(D51:O51)</f>
        <v>290</v>
      </c>
      <c r="D51" s="28">
        <v>0</v>
      </c>
      <c r="E51" s="28">
        <v>0</v>
      </c>
      <c r="F51" s="28">
        <f>175+115</f>
        <v>290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/>
      <c r="M51" s="28"/>
      <c r="N51" s="28"/>
      <c r="O51" s="28"/>
    </row>
    <row r="52" spans="1:15" ht="15" customHeight="1" x14ac:dyDescent="0.25">
      <c r="A52" s="32">
        <v>42</v>
      </c>
      <c r="B52" s="32" t="s">
        <v>355</v>
      </c>
      <c r="C52" s="33">
        <f>SUM(D52:O52)</f>
        <v>275</v>
      </c>
      <c r="D52" s="28">
        <v>0</v>
      </c>
      <c r="E52" s="28">
        <v>0</v>
      </c>
      <c r="F52" s="28">
        <v>275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/>
      <c r="M52" s="28"/>
      <c r="N52" s="28"/>
      <c r="O52" s="28"/>
    </row>
    <row r="53" spans="1:15" ht="15" customHeight="1" x14ac:dyDescent="0.25">
      <c r="A53" s="32">
        <v>42</v>
      </c>
      <c r="B53" s="32" t="s">
        <v>364</v>
      </c>
      <c r="C53" s="33">
        <f>SUM(D53:O53)</f>
        <v>275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f>275</f>
        <v>275</v>
      </c>
      <c r="J53" s="28">
        <v>0</v>
      </c>
      <c r="K53" s="28">
        <v>0</v>
      </c>
      <c r="L53" s="28"/>
      <c r="M53" s="28"/>
      <c r="N53" s="28"/>
      <c r="O53" s="28"/>
    </row>
    <row r="54" spans="1:15" ht="15" customHeight="1" x14ac:dyDescent="0.25">
      <c r="A54" s="32">
        <v>43</v>
      </c>
      <c r="B54" s="32" t="s">
        <v>310</v>
      </c>
      <c r="C54" s="33">
        <f>SUM(D54:O54)</f>
        <v>250</v>
      </c>
      <c r="D54" s="28">
        <v>0</v>
      </c>
      <c r="E54" s="28">
        <v>0</v>
      </c>
      <c r="F54" s="28">
        <v>0</v>
      </c>
      <c r="G54" s="28">
        <f>250</f>
        <v>250</v>
      </c>
      <c r="H54" s="28">
        <v>0</v>
      </c>
      <c r="I54" s="28">
        <v>0</v>
      </c>
      <c r="J54" s="28">
        <v>0</v>
      </c>
      <c r="K54" s="28">
        <v>0</v>
      </c>
      <c r="L54" s="28"/>
      <c r="M54" s="28"/>
      <c r="N54" s="28"/>
      <c r="O54" s="28"/>
    </row>
    <row r="55" spans="1:15" ht="15" customHeight="1" x14ac:dyDescent="0.25">
      <c r="A55" s="34">
        <v>44</v>
      </c>
      <c r="B55" s="34" t="s">
        <v>363</v>
      </c>
      <c r="C55" s="28">
        <f>SUM(D55:O55)</f>
        <v>225</v>
      </c>
      <c r="D55" s="28">
        <v>0</v>
      </c>
      <c r="E55" s="28">
        <v>0</v>
      </c>
      <c r="F55" s="28">
        <v>0</v>
      </c>
      <c r="G55" s="28">
        <v>0</v>
      </c>
      <c r="H55" s="28">
        <v>225</v>
      </c>
      <c r="I55" s="28">
        <v>0</v>
      </c>
      <c r="J55" s="28">
        <v>0</v>
      </c>
      <c r="K55" s="28">
        <v>0</v>
      </c>
      <c r="L55" s="28"/>
      <c r="M55" s="28"/>
      <c r="N55" s="28"/>
      <c r="O55" s="28"/>
    </row>
    <row r="56" spans="1:15" ht="15" customHeight="1" x14ac:dyDescent="0.25">
      <c r="A56" s="34">
        <v>45</v>
      </c>
      <c r="B56" s="34" t="s">
        <v>365</v>
      </c>
      <c r="C56" s="28">
        <f>SUM(D56:O56)</f>
        <v>200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f>200</f>
        <v>200</v>
      </c>
      <c r="J56" s="28">
        <v>0</v>
      </c>
      <c r="K56" s="28">
        <v>0</v>
      </c>
      <c r="L56" s="28"/>
      <c r="M56" s="28"/>
      <c r="N56" s="28"/>
      <c r="O56" s="28"/>
    </row>
    <row r="57" spans="1:15" ht="15" customHeight="1" x14ac:dyDescent="0.25">
      <c r="A57" s="34">
        <v>46</v>
      </c>
      <c r="B57" s="34" t="s">
        <v>359</v>
      </c>
      <c r="C57" s="28">
        <f>SUM(D57:O57)</f>
        <v>175</v>
      </c>
      <c r="D57" s="28">
        <v>0</v>
      </c>
      <c r="E57" s="28">
        <v>0</v>
      </c>
      <c r="F57" s="28">
        <v>0</v>
      </c>
      <c r="G57" s="28">
        <v>0</v>
      </c>
      <c r="H57" s="28">
        <f>175</f>
        <v>175</v>
      </c>
      <c r="I57" s="28">
        <v>0</v>
      </c>
      <c r="J57" s="28">
        <v>0</v>
      </c>
      <c r="K57" s="28">
        <v>0</v>
      </c>
      <c r="L57" s="28"/>
      <c r="M57" s="28"/>
      <c r="N57" s="28"/>
      <c r="O57" s="28"/>
    </row>
    <row r="58" spans="1:15" ht="15" customHeight="1" x14ac:dyDescent="0.25">
      <c r="A58" s="34">
        <v>46</v>
      </c>
      <c r="B58" s="34" t="s">
        <v>300</v>
      </c>
      <c r="C58" s="28">
        <f>SUM(D58:O58)</f>
        <v>175</v>
      </c>
      <c r="D58" s="28">
        <v>175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/>
      <c r="M58" s="28"/>
      <c r="N58" s="28"/>
      <c r="O58" s="28"/>
    </row>
    <row r="59" spans="1:15" ht="15" customHeight="1" x14ac:dyDescent="0.25">
      <c r="A59" s="34">
        <v>47</v>
      </c>
      <c r="B59" s="34" t="s">
        <v>367</v>
      </c>
      <c r="C59" s="28">
        <f>SUM(D59:O59)</f>
        <v>145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145</v>
      </c>
      <c r="K59" s="28">
        <v>0</v>
      </c>
      <c r="L59" s="28"/>
      <c r="M59" s="28"/>
      <c r="N59" s="28"/>
      <c r="O59" s="28"/>
    </row>
    <row r="60" spans="1:15" ht="15" customHeight="1" x14ac:dyDescent="0.25">
      <c r="A60" s="34">
        <v>48</v>
      </c>
      <c r="B60" s="34" t="s">
        <v>293</v>
      </c>
      <c r="C60" s="28">
        <f>SUM(D60:O60)</f>
        <v>130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130</v>
      </c>
      <c r="K60" s="28">
        <v>0</v>
      </c>
      <c r="L60" s="28"/>
      <c r="M60" s="28"/>
      <c r="N60" s="28"/>
      <c r="O60" s="28"/>
    </row>
    <row r="61" spans="1:15" ht="15" customHeight="1" x14ac:dyDescent="0.25">
      <c r="A61" s="34">
        <v>48</v>
      </c>
      <c r="B61" s="34" t="s">
        <v>354</v>
      </c>
      <c r="C61" s="28">
        <f>SUM(D61:O61)</f>
        <v>130</v>
      </c>
      <c r="D61" s="28">
        <v>0</v>
      </c>
      <c r="E61" s="28">
        <v>0</v>
      </c>
      <c r="F61" s="28">
        <f>130</f>
        <v>130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/>
      <c r="M61" s="28"/>
      <c r="N61" s="28"/>
      <c r="O61" s="28"/>
    </row>
    <row r="62" spans="1:15" ht="15" customHeight="1" x14ac:dyDescent="0.25">
      <c r="A62" s="34">
        <v>49</v>
      </c>
      <c r="B62" s="34" t="s">
        <v>360</v>
      </c>
      <c r="C62" s="28">
        <f>SUM(D62:O62)</f>
        <v>115</v>
      </c>
      <c r="D62" s="28">
        <v>0</v>
      </c>
      <c r="E62" s="28">
        <v>0</v>
      </c>
      <c r="F62" s="28">
        <v>0</v>
      </c>
      <c r="G62" s="28">
        <v>0</v>
      </c>
      <c r="H62" s="28">
        <f>115</f>
        <v>115</v>
      </c>
      <c r="I62" s="28">
        <v>0</v>
      </c>
      <c r="J62" s="28">
        <v>0</v>
      </c>
      <c r="K62" s="28">
        <v>0</v>
      </c>
      <c r="L62" s="28"/>
      <c r="M62" s="28"/>
      <c r="N62" s="28"/>
      <c r="O62" s="28"/>
    </row>
    <row r="64" spans="1:15" ht="18.75" customHeight="1" x14ac:dyDescent="0.25">
      <c r="A64" s="35" t="s">
        <v>3</v>
      </c>
      <c r="B64" s="36"/>
      <c r="C64" s="3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8.75" customHeight="1" x14ac:dyDescent="0.25">
      <c r="A65" s="37" t="s">
        <v>4</v>
      </c>
      <c r="B65" s="38"/>
      <c r="C65" s="3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8.75" customHeight="1" x14ac:dyDescent="0.25">
      <c r="A66" s="39" t="s">
        <v>5</v>
      </c>
      <c r="B66" s="40"/>
      <c r="C66" s="4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</sheetData>
  <sortState ref="A8:O62">
    <sortCondition descending="1" ref="C8:C62"/>
  </sortState>
  <mergeCells count="9">
    <mergeCell ref="A64:C64"/>
    <mergeCell ref="A65:C65"/>
    <mergeCell ref="A66:C66"/>
    <mergeCell ref="A1:O1"/>
    <mergeCell ref="A2:O2"/>
    <mergeCell ref="A3:O3"/>
    <mergeCell ref="A4:O4"/>
    <mergeCell ref="A5:O5"/>
    <mergeCell ref="A6:O6"/>
  </mergeCells>
  <pageMargins left="0.25" right="0" top="0.25" bottom="0.25" header="0.3" footer="0.3"/>
  <pageSetup paperSize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B62" sqref="B62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326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278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 t="shared" ref="C8:C39" si="0">SUM(D8:O8)</f>
        <v>6650</v>
      </c>
      <c r="D8" s="21">
        <v>475</v>
      </c>
      <c r="E8" s="21">
        <v>475</v>
      </c>
      <c r="F8" s="21">
        <v>0</v>
      </c>
      <c r="G8" s="21">
        <f>250</f>
        <v>250</v>
      </c>
      <c r="H8" s="21">
        <f>300+300</f>
        <v>600</v>
      </c>
      <c r="I8" s="21">
        <f>325</f>
        <v>325</v>
      </c>
      <c r="J8" s="21">
        <f>375+225</f>
        <v>600</v>
      </c>
      <c r="K8" s="21">
        <f>425+350</f>
        <v>775</v>
      </c>
      <c r="L8" s="21">
        <f>175+300</f>
        <v>475</v>
      </c>
      <c r="M8" s="21">
        <f>325+425</f>
        <v>750</v>
      </c>
      <c r="N8" s="21">
        <f>425+375</f>
        <v>800</v>
      </c>
      <c r="O8" s="21">
        <f>475+300+350</f>
        <v>1125</v>
      </c>
    </row>
    <row r="9" spans="1:15" ht="15" customHeight="1" x14ac:dyDescent="0.2">
      <c r="A9" s="20">
        <v>2</v>
      </c>
      <c r="B9" s="20" t="s">
        <v>229</v>
      </c>
      <c r="C9" s="22">
        <f t="shared" si="0"/>
        <v>6300</v>
      </c>
      <c r="D9" s="21">
        <v>375</v>
      </c>
      <c r="E9" s="21">
        <v>375</v>
      </c>
      <c r="F9" s="21">
        <v>425</v>
      </c>
      <c r="G9" s="21">
        <v>275</v>
      </c>
      <c r="H9" s="21">
        <f>475+225</f>
        <v>700</v>
      </c>
      <c r="I9" s="21">
        <f>225+575</f>
        <v>800</v>
      </c>
      <c r="J9" s="21">
        <v>0</v>
      </c>
      <c r="K9" s="21">
        <v>575</v>
      </c>
      <c r="L9" s="21">
        <f>575+475+145</f>
        <v>1195</v>
      </c>
      <c r="M9" s="21">
        <f>145+375</f>
        <v>520</v>
      </c>
      <c r="N9" s="21">
        <f>375+160</f>
        <v>535</v>
      </c>
      <c r="O9" s="21">
        <f>225+300</f>
        <v>525</v>
      </c>
    </row>
    <row r="10" spans="1:15" ht="15" customHeight="1" x14ac:dyDescent="0.2">
      <c r="A10" s="20">
        <v>3</v>
      </c>
      <c r="B10" s="20" t="s">
        <v>244</v>
      </c>
      <c r="C10" s="22">
        <f t="shared" si="0"/>
        <v>4660</v>
      </c>
      <c r="D10" s="21">
        <v>425</v>
      </c>
      <c r="E10" s="21">
        <v>0</v>
      </c>
      <c r="F10" s="21">
        <v>0</v>
      </c>
      <c r="G10" s="21">
        <v>575</v>
      </c>
      <c r="H10" s="21">
        <f>325+160</f>
        <v>485</v>
      </c>
      <c r="I10" s="21">
        <f>115+250</f>
        <v>365</v>
      </c>
      <c r="J10" s="21">
        <f>250</f>
        <v>250</v>
      </c>
      <c r="K10" s="21">
        <f>160+250</f>
        <v>410</v>
      </c>
      <c r="L10" s="21">
        <f>250+375+475</f>
        <v>1100</v>
      </c>
      <c r="M10" s="21">
        <v>0</v>
      </c>
      <c r="N10" s="21">
        <f>175+200</f>
        <v>375</v>
      </c>
      <c r="O10" s="21">
        <f>425+250</f>
        <v>675</v>
      </c>
    </row>
    <row r="11" spans="1:15" ht="15" customHeight="1" x14ac:dyDescent="0.2">
      <c r="A11" s="20">
        <v>4</v>
      </c>
      <c r="B11" s="20" t="s">
        <v>266</v>
      </c>
      <c r="C11" s="22">
        <f t="shared" si="0"/>
        <v>4630</v>
      </c>
      <c r="D11" s="21">
        <v>0</v>
      </c>
      <c r="E11" s="21">
        <v>0</v>
      </c>
      <c r="F11" s="21">
        <v>160</v>
      </c>
      <c r="G11" s="21">
        <v>145</v>
      </c>
      <c r="H11" s="21">
        <f>275+425</f>
        <v>700</v>
      </c>
      <c r="I11" s="21">
        <v>375</v>
      </c>
      <c r="J11" s="21">
        <f>475+325</f>
        <v>800</v>
      </c>
      <c r="K11" s="21">
        <f>175+375</f>
        <v>550</v>
      </c>
      <c r="L11" s="21">
        <f>350+200+225</f>
        <v>775</v>
      </c>
      <c r="M11" s="21">
        <v>300</v>
      </c>
      <c r="N11" s="21">
        <f>575</f>
        <v>575</v>
      </c>
      <c r="O11" s="21">
        <f>250</f>
        <v>250</v>
      </c>
    </row>
    <row r="12" spans="1:15" ht="15" customHeight="1" x14ac:dyDescent="0.2">
      <c r="A12" s="20">
        <v>5</v>
      </c>
      <c r="B12" s="20" t="s">
        <v>297</v>
      </c>
      <c r="C12" s="22">
        <f t="shared" si="0"/>
        <v>4525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>250+475</f>
        <v>725</v>
      </c>
      <c r="J12" s="21">
        <f>425+250</f>
        <v>675</v>
      </c>
      <c r="K12" s="21">
        <f>325+175</f>
        <v>500</v>
      </c>
      <c r="L12" s="21">
        <f>300+175+300</f>
        <v>775</v>
      </c>
      <c r="M12" s="21">
        <f>200+175</f>
        <v>375</v>
      </c>
      <c r="N12" s="21">
        <f>300+475</f>
        <v>775</v>
      </c>
      <c r="O12" s="21">
        <f>325+375</f>
        <v>700</v>
      </c>
    </row>
    <row r="13" spans="1:15" ht="15" customHeight="1" x14ac:dyDescent="0.2">
      <c r="A13" s="20">
        <v>6</v>
      </c>
      <c r="B13" s="20" t="s">
        <v>249</v>
      </c>
      <c r="C13" s="22">
        <f t="shared" si="0"/>
        <v>4375</v>
      </c>
      <c r="D13" s="21">
        <v>575</v>
      </c>
      <c r="E13" s="21">
        <v>325</v>
      </c>
      <c r="F13" s="21">
        <v>0</v>
      </c>
      <c r="G13" s="21">
        <f>145+160</f>
        <v>305</v>
      </c>
      <c r="H13" s="21">
        <v>115</v>
      </c>
      <c r="I13" s="21">
        <f>475</f>
        <v>475</v>
      </c>
      <c r="J13" s="21">
        <f>145+200</f>
        <v>345</v>
      </c>
      <c r="K13" s="21">
        <f>200+130</f>
        <v>330</v>
      </c>
      <c r="L13" s="21">
        <v>0</v>
      </c>
      <c r="M13" s="21">
        <f>130+225</f>
        <v>355</v>
      </c>
      <c r="N13" s="21">
        <f>275+425</f>
        <v>700</v>
      </c>
      <c r="O13" s="21">
        <f>275+575</f>
        <v>850</v>
      </c>
    </row>
    <row r="14" spans="1:15" ht="15" customHeight="1" x14ac:dyDescent="0.2">
      <c r="A14" s="20">
        <v>7</v>
      </c>
      <c r="B14" s="20" t="s">
        <v>296</v>
      </c>
      <c r="C14" s="22">
        <f t="shared" si="0"/>
        <v>4290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>275+200</f>
        <v>475</v>
      </c>
      <c r="J14" s="21">
        <f>325+300</f>
        <v>625</v>
      </c>
      <c r="K14" s="21">
        <v>325</v>
      </c>
      <c r="L14" s="21">
        <f>115+275+575</f>
        <v>965</v>
      </c>
      <c r="M14" s="21">
        <f>475+130</f>
        <v>605</v>
      </c>
      <c r="N14" s="21">
        <f>145</f>
        <v>145</v>
      </c>
      <c r="O14" s="21">
        <f>300+275+575</f>
        <v>1150</v>
      </c>
    </row>
    <row r="15" spans="1:15" ht="15" customHeight="1" x14ac:dyDescent="0.2">
      <c r="A15" s="20">
        <v>8</v>
      </c>
      <c r="B15" s="20" t="s">
        <v>265</v>
      </c>
      <c r="C15" s="22">
        <f t="shared" si="0"/>
        <v>3870</v>
      </c>
      <c r="D15" s="21">
        <v>0</v>
      </c>
      <c r="E15" s="21">
        <v>0</v>
      </c>
      <c r="F15" s="21">
        <v>175</v>
      </c>
      <c r="G15" s="21">
        <v>0</v>
      </c>
      <c r="H15" s="21">
        <f>375+200</f>
        <v>575</v>
      </c>
      <c r="I15" s="21">
        <f>200</f>
        <v>200</v>
      </c>
      <c r="J15" s="21">
        <f>275+130</f>
        <v>405</v>
      </c>
      <c r="K15" s="21">
        <f>475+300</f>
        <v>775</v>
      </c>
      <c r="L15" s="21">
        <f>225+225+350</f>
        <v>800</v>
      </c>
      <c r="M15" s="21">
        <v>575</v>
      </c>
      <c r="N15" s="21">
        <f>250</f>
        <v>250</v>
      </c>
      <c r="O15" s="21">
        <f>115</f>
        <v>115</v>
      </c>
    </row>
    <row r="16" spans="1:15" ht="15" customHeight="1" x14ac:dyDescent="0.2">
      <c r="A16" s="20">
        <v>9</v>
      </c>
      <c r="B16" s="20" t="s">
        <v>290</v>
      </c>
      <c r="C16" s="22">
        <f t="shared" si="0"/>
        <v>3760</v>
      </c>
      <c r="D16" s="21">
        <v>0</v>
      </c>
      <c r="E16" s="21">
        <v>0</v>
      </c>
      <c r="F16" s="21">
        <v>0</v>
      </c>
      <c r="G16" s="21">
        <v>130</v>
      </c>
      <c r="H16" s="21">
        <f>575+350</f>
        <v>925</v>
      </c>
      <c r="I16" s="21">
        <f>145+130</f>
        <v>275</v>
      </c>
      <c r="J16" s="21">
        <f>200+115</f>
        <v>315</v>
      </c>
      <c r="K16" s="21">
        <f>145+200</f>
        <v>345</v>
      </c>
      <c r="L16" s="21">
        <v>0</v>
      </c>
      <c r="M16" s="21">
        <f>225+475</f>
        <v>700</v>
      </c>
      <c r="N16" s="21">
        <f>225+145</f>
        <v>370</v>
      </c>
      <c r="O16" s="21">
        <f>200+225+275</f>
        <v>700</v>
      </c>
    </row>
    <row r="17" spans="1:15" ht="15" customHeight="1" x14ac:dyDescent="0.2">
      <c r="A17" s="20">
        <v>10</v>
      </c>
      <c r="B17" s="20" t="s">
        <v>268</v>
      </c>
      <c r="C17" s="22">
        <f t="shared" si="0"/>
        <v>3460</v>
      </c>
      <c r="D17" s="21">
        <v>0</v>
      </c>
      <c r="E17" s="21">
        <v>0</v>
      </c>
      <c r="F17" s="21">
        <v>130</v>
      </c>
      <c r="G17" s="21">
        <f>575</f>
        <v>575</v>
      </c>
      <c r="H17" s="21">
        <f>145</f>
        <v>145</v>
      </c>
      <c r="I17" s="21">
        <v>325</v>
      </c>
      <c r="J17" s="21">
        <v>0</v>
      </c>
      <c r="K17" s="21">
        <v>275</v>
      </c>
      <c r="L17" s="21">
        <f>375+160</f>
        <v>535</v>
      </c>
      <c r="M17" s="21">
        <v>250</v>
      </c>
      <c r="N17" s="21">
        <v>300</v>
      </c>
      <c r="O17" s="21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 t="shared" si="0"/>
        <v>3375</v>
      </c>
      <c r="D18" s="21">
        <v>0</v>
      </c>
      <c r="E18" s="21">
        <v>0</v>
      </c>
      <c r="F18" s="21">
        <v>0</v>
      </c>
      <c r="G18" s="21">
        <v>0</v>
      </c>
      <c r="H18" s="21">
        <f>425+575</f>
        <v>1000</v>
      </c>
      <c r="I18" s="21">
        <f>575+425</f>
        <v>1000</v>
      </c>
      <c r="J18" s="21">
        <f>225</f>
        <v>225</v>
      </c>
      <c r="K18" s="21">
        <f>250+160</f>
        <v>410</v>
      </c>
      <c r="L18" s="21">
        <f>275+350</f>
        <v>625</v>
      </c>
      <c r="M18" s="21">
        <v>0</v>
      </c>
      <c r="N18" s="21">
        <v>0</v>
      </c>
      <c r="O18" s="21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 t="shared" si="0"/>
        <v>2910</v>
      </c>
      <c r="D19" s="21">
        <v>0</v>
      </c>
      <c r="E19" s="21">
        <v>0</v>
      </c>
      <c r="F19" s="21">
        <v>0</v>
      </c>
      <c r="G19" s="21">
        <v>350</v>
      </c>
      <c r="H19" s="21">
        <v>250</v>
      </c>
      <c r="I19" s="21">
        <v>175</v>
      </c>
      <c r="J19" s="21">
        <v>350</v>
      </c>
      <c r="K19" s="21">
        <v>475</v>
      </c>
      <c r="L19" s="21">
        <f>160+145+130</f>
        <v>435</v>
      </c>
      <c r="M19" s="21">
        <v>350</v>
      </c>
      <c r="N19" s="21">
        <v>350</v>
      </c>
      <c r="O19" s="21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 t="shared" si="0"/>
        <v>2765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f>300+475</f>
        <v>775</v>
      </c>
      <c r="K20" s="21">
        <f>350</f>
        <v>350</v>
      </c>
      <c r="L20" s="21">
        <v>200</v>
      </c>
      <c r="M20" s="21">
        <f>575</f>
        <v>575</v>
      </c>
      <c r="N20" s="21">
        <f>115+575</f>
        <v>690</v>
      </c>
      <c r="O20" s="21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 t="shared" si="0"/>
        <v>2655</v>
      </c>
      <c r="D21" s="21">
        <v>160</v>
      </c>
      <c r="E21" s="21">
        <v>0</v>
      </c>
      <c r="F21" s="21">
        <v>375</v>
      </c>
      <c r="G21" s="21">
        <v>375</v>
      </c>
      <c r="H21" s="21">
        <f>160+475</f>
        <v>635</v>
      </c>
      <c r="I21" s="21">
        <f>350+375</f>
        <v>725</v>
      </c>
      <c r="J21" s="21">
        <v>0</v>
      </c>
      <c r="K21" s="21">
        <v>0</v>
      </c>
      <c r="L21" s="21">
        <v>160</v>
      </c>
      <c r="M21" s="21">
        <v>0</v>
      </c>
      <c r="N21" s="21">
        <v>225</v>
      </c>
      <c r="O21" s="21">
        <v>0</v>
      </c>
    </row>
    <row r="22" spans="1:15" ht="15" customHeight="1" x14ac:dyDescent="0.2">
      <c r="A22" s="20">
        <v>15</v>
      </c>
      <c r="B22" s="20" t="s">
        <v>294</v>
      </c>
      <c r="C22" s="21">
        <f t="shared" si="0"/>
        <v>2420</v>
      </c>
      <c r="D22" s="21">
        <v>0</v>
      </c>
      <c r="E22" s="21">
        <v>0</v>
      </c>
      <c r="F22" s="21">
        <v>0</v>
      </c>
      <c r="G22" s="21">
        <v>0</v>
      </c>
      <c r="H22" s="21">
        <f>130</f>
        <v>130</v>
      </c>
      <c r="I22" s="21">
        <f>160</f>
        <v>160</v>
      </c>
      <c r="J22" s="21">
        <f>350</f>
        <v>350</v>
      </c>
      <c r="K22" s="21">
        <v>0</v>
      </c>
      <c r="L22" s="21">
        <f>145+425</f>
        <v>570</v>
      </c>
      <c r="M22" s="21">
        <f>160+325</f>
        <v>485</v>
      </c>
      <c r="N22" s="21">
        <f>350+115</f>
        <v>465</v>
      </c>
      <c r="O22" s="21">
        <f>130+130</f>
        <v>260</v>
      </c>
    </row>
    <row r="23" spans="1:15" ht="15" customHeight="1" x14ac:dyDescent="0.2">
      <c r="A23" s="20">
        <v>16</v>
      </c>
      <c r="B23" s="20" t="s">
        <v>250</v>
      </c>
      <c r="C23" s="21">
        <f t="shared" si="0"/>
        <v>2240</v>
      </c>
      <c r="D23" s="21">
        <v>350</v>
      </c>
      <c r="E23" s="21">
        <v>300</v>
      </c>
      <c r="F23" s="21">
        <v>0</v>
      </c>
      <c r="G23" s="21">
        <v>175</v>
      </c>
      <c r="H23" s="21">
        <f>115+275</f>
        <v>390</v>
      </c>
      <c r="I23" s="21">
        <f>300</f>
        <v>300</v>
      </c>
      <c r="J23" s="21">
        <v>0</v>
      </c>
      <c r="K23" s="21">
        <v>0</v>
      </c>
      <c r="L23" s="21">
        <f>130</f>
        <v>130</v>
      </c>
      <c r="M23" s="21">
        <f>275+145</f>
        <v>420</v>
      </c>
      <c r="N23" s="21">
        <v>0</v>
      </c>
      <c r="O23" s="21">
        <v>175</v>
      </c>
    </row>
    <row r="24" spans="1:15" ht="15" customHeight="1" x14ac:dyDescent="0.2">
      <c r="A24" s="20">
        <v>17</v>
      </c>
      <c r="B24" s="20" t="s">
        <v>259</v>
      </c>
      <c r="C24" s="21">
        <f t="shared" si="0"/>
        <v>2065</v>
      </c>
      <c r="D24" s="21">
        <v>0</v>
      </c>
      <c r="E24" s="21">
        <v>275</v>
      </c>
      <c r="F24" s="21">
        <v>200</v>
      </c>
      <c r="G24" s="21">
        <v>250</v>
      </c>
      <c r="H24" s="21">
        <f>200+325</f>
        <v>525</v>
      </c>
      <c r="I24" s="21">
        <v>0</v>
      </c>
      <c r="J24" s="21">
        <v>0</v>
      </c>
      <c r="K24" s="21">
        <f>275+425</f>
        <v>700</v>
      </c>
      <c r="L24" s="21">
        <v>0</v>
      </c>
      <c r="M24" s="21">
        <f>115</f>
        <v>115</v>
      </c>
      <c r="N24" s="21">
        <v>0</v>
      </c>
      <c r="O24" s="21">
        <v>0</v>
      </c>
    </row>
    <row r="25" spans="1:15" ht="15" customHeight="1" x14ac:dyDescent="0.2">
      <c r="A25" s="20">
        <v>18</v>
      </c>
      <c r="B25" s="20" t="s">
        <v>317</v>
      </c>
      <c r="C25" s="21">
        <f t="shared" si="0"/>
        <v>1685</v>
      </c>
      <c r="D25" s="21">
        <v>0</v>
      </c>
      <c r="E25" s="21">
        <v>0</v>
      </c>
      <c r="F25" s="21">
        <v>0</v>
      </c>
      <c r="G25" s="21">
        <v>325</v>
      </c>
      <c r="H25" s="21">
        <v>0</v>
      </c>
      <c r="I25" s="21">
        <v>0</v>
      </c>
      <c r="J25" s="21">
        <v>0</v>
      </c>
      <c r="K25" s="21">
        <v>0</v>
      </c>
      <c r="L25" s="21">
        <f>325+275</f>
        <v>600</v>
      </c>
      <c r="M25" s="21">
        <v>0</v>
      </c>
      <c r="N25" s="21">
        <v>275</v>
      </c>
      <c r="O25" s="21">
        <f>160+325</f>
        <v>485</v>
      </c>
    </row>
    <row r="26" spans="1:15" ht="15" customHeight="1" x14ac:dyDescent="0.2">
      <c r="A26" s="20">
        <v>19</v>
      </c>
      <c r="B26" s="20" t="s">
        <v>260</v>
      </c>
      <c r="C26" s="21">
        <f t="shared" si="0"/>
        <v>1640</v>
      </c>
      <c r="D26" s="21">
        <v>0</v>
      </c>
      <c r="E26" s="21">
        <v>0</v>
      </c>
      <c r="F26" s="21">
        <v>575</v>
      </c>
      <c r="G26" s="21">
        <v>200</v>
      </c>
      <c r="H26" s="21">
        <v>175</v>
      </c>
      <c r="I26" s="21">
        <v>0</v>
      </c>
      <c r="J26" s="21">
        <v>0</v>
      </c>
      <c r="K26" s="21">
        <v>0</v>
      </c>
      <c r="L26" s="21">
        <f>115+375</f>
        <v>490</v>
      </c>
      <c r="M26" s="21">
        <v>200</v>
      </c>
      <c r="N26" s="21">
        <v>0</v>
      </c>
      <c r="O26" s="21">
        <v>0</v>
      </c>
    </row>
    <row r="27" spans="1:15" ht="15" customHeight="1" x14ac:dyDescent="0.2">
      <c r="A27" s="20">
        <v>20</v>
      </c>
      <c r="B27" s="20" t="s">
        <v>279</v>
      </c>
      <c r="C27" s="21">
        <f t="shared" si="0"/>
        <v>1525</v>
      </c>
      <c r="D27" s="21">
        <v>0</v>
      </c>
      <c r="E27" s="21">
        <v>0</v>
      </c>
      <c r="F27" s="21">
        <v>0</v>
      </c>
      <c r="G27" s="21">
        <f>425</f>
        <v>425</v>
      </c>
      <c r="H27" s="21">
        <f>350</f>
        <v>350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325</v>
      </c>
      <c r="O27" s="21">
        <f>425</f>
        <v>425</v>
      </c>
    </row>
    <row r="28" spans="1:15" ht="15" customHeight="1" x14ac:dyDescent="0.2">
      <c r="A28" s="20">
        <v>21</v>
      </c>
      <c r="B28" s="20" t="s">
        <v>293</v>
      </c>
      <c r="C28" s="21">
        <f t="shared" si="0"/>
        <v>1510</v>
      </c>
      <c r="D28" s="21">
        <v>0</v>
      </c>
      <c r="E28" s="21">
        <v>0</v>
      </c>
      <c r="F28" s="21">
        <v>0</v>
      </c>
      <c r="G28" s="21">
        <v>0</v>
      </c>
      <c r="H28" s="21">
        <f>225</f>
        <v>225</v>
      </c>
      <c r="I28" s="21">
        <v>0</v>
      </c>
      <c r="J28" s="21">
        <f>130+275</f>
        <v>405</v>
      </c>
      <c r="K28" s="21">
        <f>115</f>
        <v>115</v>
      </c>
      <c r="L28" s="21">
        <f>275</f>
        <v>275</v>
      </c>
      <c r="M28" s="21">
        <v>0</v>
      </c>
      <c r="N28" s="21">
        <v>0</v>
      </c>
      <c r="O28" s="21">
        <f>375+115</f>
        <v>490</v>
      </c>
    </row>
    <row r="29" spans="1:15" ht="15" customHeight="1" x14ac:dyDescent="0.2">
      <c r="A29" s="20">
        <v>22</v>
      </c>
      <c r="B29" s="20" t="s">
        <v>286</v>
      </c>
      <c r="C29" s="21">
        <f t="shared" si="0"/>
        <v>1480</v>
      </c>
      <c r="D29" s="21">
        <v>0</v>
      </c>
      <c r="E29" s="21">
        <v>0</v>
      </c>
      <c r="F29" s="21">
        <v>300</v>
      </c>
      <c r="G29" s="21">
        <f>115+300</f>
        <v>415</v>
      </c>
      <c r="H29" s="21">
        <v>130</v>
      </c>
      <c r="I29" s="21">
        <v>160</v>
      </c>
      <c r="J29" s="21">
        <v>0</v>
      </c>
      <c r="K29" s="21">
        <v>115</v>
      </c>
      <c r="L29" s="21">
        <v>0</v>
      </c>
      <c r="M29" s="21">
        <v>160</v>
      </c>
      <c r="N29" s="21">
        <v>0</v>
      </c>
      <c r="O29" s="21">
        <f>200</f>
        <v>200</v>
      </c>
    </row>
    <row r="30" spans="1:15" ht="15" customHeight="1" x14ac:dyDescent="0.2">
      <c r="A30" s="20">
        <v>23</v>
      </c>
      <c r="B30" s="20" t="s">
        <v>300</v>
      </c>
      <c r="C30" s="21">
        <f t="shared" si="0"/>
        <v>1365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275</v>
      </c>
      <c r="J30" s="21">
        <v>0</v>
      </c>
      <c r="K30" s="21">
        <v>0</v>
      </c>
      <c r="L30" s="21">
        <v>325</v>
      </c>
      <c r="M30" s="21">
        <v>0</v>
      </c>
      <c r="N30" s="21">
        <v>0</v>
      </c>
      <c r="O30" s="21">
        <f>145+475+145</f>
        <v>765</v>
      </c>
    </row>
    <row r="31" spans="1:15" ht="15" customHeight="1" x14ac:dyDescent="0.2">
      <c r="A31" s="20">
        <v>24</v>
      </c>
      <c r="B31" s="20" t="s">
        <v>257</v>
      </c>
      <c r="C31" s="21">
        <f t="shared" si="0"/>
        <v>1325</v>
      </c>
      <c r="D31" s="21">
        <v>275</v>
      </c>
      <c r="E31" s="21">
        <v>575</v>
      </c>
      <c r="F31" s="21">
        <v>475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" customHeight="1" x14ac:dyDescent="0.2">
      <c r="A32" s="20">
        <v>25</v>
      </c>
      <c r="B32" s="20" t="s">
        <v>310</v>
      </c>
      <c r="C32" s="21">
        <f t="shared" si="0"/>
        <v>1150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>225</f>
        <v>225</v>
      </c>
      <c r="L32" s="21">
        <f>425</f>
        <v>425</v>
      </c>
      <c r="M32" s="21">
        <f>175</f>
        <v>175</v>
      </c>
      <c r="N32" s="21">
        <f>325</f>
        <v>325</v>
      </c>
      <c r="O32" s="21">
        <v>0</v>
      </c>
    </row>
    <row r="33" spans="1:15" ht="15" customHeight="1" x14ac:dyDescent="0.2">
      <c r="A33" s="20">
        <v>26</v>
      </c>
      <c r="B33" s="20" t="s">
        <v>245</v>
      </c>
      <c r="C33" s="21">
        <f t="shared" si="0"/>
        <v>1050</v>
      </c>
      <c r="D33" s="21">
        <v>300</v>
      </c>
      <c r="E33" s="21">
        <v>0</v>
      </c>
      <c r="F33" s="21">
        <v>0</v>
      </c>
      <c r="G33" s="21">
        <v>0</v>
      </c>
      <c r="H33" s="21">
        <f>250</f>
        <v>250</v>
      </c>
      <c r="I33" s="21">
        <v>225</v>
      </c>
      <c r="J33" s="21">
        <f>160</f>
        <v>160</v>
      </c>
      <c r="K33" s="21">
        <v>0</v>
      </c>
      <c r="L33" s="21">
        <v>115</v>
      </c>
      <c r="M33" s="21">
        <v>0</v>
      </c>
      <c r="N33" s="21">
        <v>0</v>
      </c>
      <c r="O33" s="21">
        <v>0</v>
      </c>
    </row>
    <row r="34" spans="1:15" ht="15" customHeight="1" x14ac:dyDescent="0.2">
      <c r="A34" s="20">
        <v>27</v>
      </c>
      <c r="B34" s="20" t="s">
        <v>298</v>
      </c>
      <c r="C34" s="21">
        <f t="shared" si="0"/>
        <v>900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>175+300</f>
        <v>475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425</v>
      </c>
    </row>
    <row r="35" spans="1:15" ht="15" customHeight="1" x14ac:dyDescent="0.2">
      <c r="A35" s="20">
        <v>28</v>
      </c>
      <c r="B35" s="20" t="s">
        <v>313</v>
      </c>
      <c r="C35" s="21">
        <f t="shared" si="0"/>
        <v>840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>475</f>
        <v>475</v>
      </c>
      <c r="M35" s="21">
        <f>250+115</f>
        <v>365</v>
      </c>
      <c r="N35" s="21">
        <v>0</v>
      </c>
      <c r="O35" s="21">
        <v>0</v>
      </c>
    </row>
    <row r="36" spans="1:15" ht="15" customHeight="1" x14ac:dyDescent="0.2">
      <c r="A36" s="20">
        <v>29</v>
      </c>
      <c r="B36" s="20" t="s">
        <v>320</v>
      </c>
      <c r="C36" s="21">
        <f t="shared" si="0"/>
        <v>810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175</v>
      </c>
      <c r="M36" s="21">
        <v>0</v>
      </c>
      <c r="N36" s="21">
        <f>475</f>
        <v>475</v>
      </c>
      <c r="O36" s="21">
        <f>160</f>
        <v>160</v>
      </c>
    </row>
    <row r="37" spans="1:15" ht="15" customHeight="1" x14ac:dyDescent="0.2">
      <c r="A37" s="20">
        <v>30</v>
      </c>
      <c r="B37" s="20" t="s">
        <v>251</v>
      </c>
      <c r="C37" s="21">
        <f t="shared" si="0"/>
        <v>800</v>
      </c>
      <c r="D37" s="21">
        <v>325</v>
      </c>
      <c r="E37" s="21">
        <v>0</v>
      </c>
      <c r="F37" s="21">
        <v>0</v>
      </c>
      <c r="G37" s="21">
        <f>475</f>
        <v>475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ht="15" customHeight="1" x14ac:dyDescent="0.2">
      <c r="A38" s="20">
        <v>31</v>
      </c>
      <c r="B38" s="20" t="s">
        <v>319</v>
      </c>
      <c r="C38" s="21">
        <f t="shared" si="0"/>
        <v>790</v>
      </c>
      <c r="D38" s="21">
        <v>0</v>
      </c>
      <c r="E38" s="21">
        <v>0</v>
      </c>
      <c r="F38" s="21">
        <v>0</v>
      </c>
      <c r="G38" s="21">
        <v>0</v>
      </c>
      <c r="H38" s="21">
        <v>145</v>
      </c>
      <c r="I38" s="21">
        <v>0</v>
      </c>
      <c r="J38" s="21">
        <v>0</v>
      </c>
      <c r="K38" s="21">
        <v>0</v>
      </c>
      <c r="L38" s="21">
        <v>0</v>
      </c>
      <c r="M38" s="21">
        <v>275</v>
      </c>
      <c r="N38" s="21">
        <v>0</v>
      </c>
      <c r="O38" s="21">
        <f>145+225</f>
        <v>370</v>
      </c>
    </row>
    <row r="39" spans="1:15" ht="15" customHeight="1" x14ac:dyDescent="0.2">
      <c r="A39" s="20">
        <v>32</v>
      </c>
      <c r="B39" s="20" t="s">
        <v>280</v>
      </c>
      <c r="C39" s="21">
        <f t="shared" si="0"/>
        <v>725</v>
      </c>
      <c r="D39" s="21">
        <v>0</v>
      </c>
      <c r="E39" s="21">
        <v>0</v>
      </c>
      <c r="F39" s="21">
        <v>0</v>
      </c>
      <c r="G39" s="21">
        <f>375</f>
        <v>375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>350</f>
        <v>350</v>
      </c>
    </row>
    <row r="40" spans="1:15" ht="15" customHeight="1" x14ac:dyDescent="0.2">
      <c r="A40" s="23">
        <v>33</v>
      </c>
      <c r="B40" s="23" t="s">
        <v>291</v>
      </c>
      <c r="C40" s="24">
        <f t="shared" ref="C40:C71" si="1">SUM(D40:O40)</f>
        <v>695</v>
      </c>
      <c r="D40" s="24">
        <v>0</v>
      </c>
      <c r="E40" s="24">
        <v>0</v>
      </c>
      <c r="F40" s="24">
        <v>0</v>
      </c>
      <c r="G40" s="24">
        <v>115</v>
      </c>
      <c r="H40" s="24">
        <f>175</f>
        <v>175</v>
      </c>
      <c r="I40" s="24">
        <f>130+115</f>
        <v>245</v>
      </c>
      <c r="J40" s="24">
        <v>160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1:15" ht="15" customHeight="1" x14ac:dyDescent="0.2">
      <c r="A41" s="23">
        <v>34</v>
      </c>
      <c r="B41" s="23" t="s">
        <v>253</v>
      </c>
      <c r="C41" s="24">
        <f t="shared" si="1"/>
        <v>675</v>
      </c>
      <c r="D41" s="24">
        <v>200</v>
      </c>
      <c r="E41" s="24">
        <v>0</v>
      </c>
      <c r="F41" s="24">
        <v>0</v>
      </c>
      <c r="G41" s="24">
        <v>475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</row>
    <row r="42" spans="1:15" ht="15" customHeight="1" x14ac:dyDescent="0.2">
      <c r="A42" s="23">
        <v>35</v>
      </c>
      <c r="B42" s="23" t="s">
        <v>199</v>
      </c>
      <c r="C42" s="24">
        <f t="shared" si="1"/>
        <v>650</v>
      </c>
      <c r="D42" s="24">
        <v>0</v>
      </c>
      <c r="E42" s="24">
        <v>425</v>
      </c>
      <c r="F42" s="24">
        <v>0</v>
      </c>
      <c r="G42" s="24">
        <f>225</f>
        <v>225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" customHeight="1" x14ac:dyDescent="0.2">
      <c r="A43" s="23">
        <v>36</v>
      </c>
      <c r="B43" s="23" t="s">
        <v>261</v>
      </c>
      <c r="C43" s="24">
        <f t="shared" si="1"/>
        <v>625</v>
      </c>
      <c r="D43" s="24">
        <v>0</v>
      </c>
      <c r="E43" s="24">
        <v>0</v>
      </c>
      <c r="F43" s="24">
        <v>325</v>
      </c>
      <c r="G43" s="24">
        <f>300</f>
        <v>300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15" customHeight="1" x14ac:dyDescent="0.2">
      <c r="A44" s="23">
        <v>37</v>
      </c>
      <c r="B44" s="23" t="s">
        <v>328</v>
      </c>
      <c r="C44" s="24">
        <f t="shared" si="1"/>
        <v>575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250</v>
      </c>
      <c r="O44" s="24">
        <f>325</f>
        <v>325</v>
      </c>
    </row>
    <row r="45" spans="1:15" ht="15" customHeight="1" x14ac:dyDescent="0.2">
      <c r="A45" s="23">
        <v>37</v>
      </c>
      <c r="B45" s="23" t="s">
        <v>306</v>
      </c>
      <c r="C45" s="24">
        <f t="shared" si="1"/>
        <v>575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>575</f>
        <v>575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" customHeight="1" x14ac:dyDescent="0.2">
      <c r="A46" s="23">
        <v>37</v>
      </c>
      <c r="B46" s="23" t="s">
        <v>304</v>
      </c>
      <c r="C46" s="24">
        <f t="shared" si="1"/>
        <v>575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>175+175</f>
        <v>350</v>
      </c>
      <c r="K46" s="24">
        <v>225</v>
      </c>
      <c r="L46" s="24">
        <v>0</v>
      </c>
      <c r="M46" s="24">
        <v>0</v>
      </c>
      <c r="N46" s="24">
        <v>0</v>
      </c>
      <c r="O46" s="24">
        <v>0</v>
      </c>
    </row>
    <row r="47" spans="1:15" ht="15" customHeight="1" x14ac:dyDescent="0.2">
      <c r="A47" s="23">
        <v>37</v>
      </c>
      <c r="B47" s="23" t="s">
        <v>316</v>
      </c>
      <c r="C47" s="24">
        <f t="shared" si="1"/>
        <v>575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575</f>
        <v>575</v>
      </c>
      <c r="M47" s="24">
        <v>0</v>
      </c>
      <c r="N47" s="24">
        <v>0</v>
      </c>
      <c r="O47" s="24">
        <v>0</v>
      </c>
    </row>
    <row r="48" spans="1:15" ht="15" customHeight="1" x14ac:dyDescent="0.2">
      <c r="A48" s="23">
        <v>37</v>
      </c>
      <c r="B48" s="23" t="s">
        <v>246</v>
      </c>
      <c r="C48" s="24">
        <f t="shared" si="1"/>
        <v>575</v>
      </c>
      <c r="D48" s="24">
        <v>225</v>
      </c>
      <c r="E48" s="24">
        <v>0</v>
      </c>
      <c r="F48" s="24">
        <v>350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</row>
    <row r="49" spans="1:15" ht="15" customHeight="1" x14ac:dyDescent="0.2">
      <c r="A49" s="23">
        <v>37</v>
      </c>
      <c r="B49" s="23" t="s">
        <v>302</v>
      </c>
      <c r="C49" s="24">
        <f t="shared" si="1"/>
        <v>575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>575</f>
        <v>575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</row>
    <row r="50" spans="1:15" ht="15" customHeight="1" x14ac:dyDescent="0.2">
      <c r="A50" s="23">
        <v>37</v>
      </c>
      <c r="B50" s="23" t="s">
        <v>309</v>
      </c>
      <c r="C50" s="24">
        <f t="shared" si="1"/>
        <v>575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575</f>
        <v>575</v>
      </c>
      <c r="L50" s="24">
        <v>0</v>
      </c>
      <c r="M50" s="24">
        <v>0</v>
      </c>
      <c r="N50" s="24">
        <v>0</v>
      </c>
      <c r="O50" s="24">
        <v>0</v>
      </c>
    </row>
    <row r="51" spans="1:15" ht="15" customHeight="1" x14ac:dyDescent="0.2">
      <c r="A51" s="23">
        <v>38</v>
      </c>
      <c r="B51" s="23" t="s">
        <v>318</v>
      </c>
      <c r="C51" s="24">
        <f t="shared" si="1"/>
        <v>555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130+425</f>
        <v>555</v>
      </c>
      <c r="M51" s="24">
        <v>0</v>
      </c>
      <c r="N51" s="24">
        <v>0</v>
      </c>
      <c r="O51" s="24">
        <v>0</v>
      </c>
    </row>
    <row r="52" spans="1:15" ht="15" customHeight="1" x14ac:dyDescent="0.2">
      <c r="A52" s="23">
        <v>39</v>
      </c>
      <c r="B52" s="23" t="s">
        <v>329</v>
      </c>
      <c r="C52" s="24">
        <f t="shared" si="1"/>
        <v>490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160</v>
      </c>
      <c r="O52" s="24">
        <f>130+200</f>
        <v>330</v>
      </c>
    </row>
    <row r="53" spans="1:15" ht="15" customHeight="1" x14ac:dyDescent="0.2">
      <c r="A53" s="23">
        <v>40</v>
      </c>
      <c r="B53" s="23" t="s">
        <v>331</v>
      </c>
      <c r="C53" s="24">
        <f t="shared" si="1"/>
        <v>475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475</v>
      </c>
    </row>
    <row r="54" spans="1:15" ht="15" customHeight="1" x14ac:dyDescent="0.2">
      <c r="A54" s="23">
        <v>41</v>
      </c>
      <c r="B54" s="23" t="s">
        <v>315</v>
      </c>
      <c r="C54" s="24">
        <f t="shared" si="1"/>
        <v>450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200+250</f>
        <v>450</v>
      </c>
      <c r="M54" s="24">
        <v>0</v>
      </c>
      <c r="N54" s="24">
        <v>0</v>
      </c>
      <c r="O54" s="24">
        <v>0</v>
      </c>
    </row>
    <row r="55" spans="1:15" ht="15" customHeight="1" x14ac:dyDescent="0.2">
      <c r="A55" s="23">
        <v>42</v>
      </c>
      <c r="B55" s="23" t="s">
        <v>287</v>
      </c>
      <c r="C55" s="24">
        <f t="shared" si="1"/>
        <v>425</v>
      </c>
      <c r="D55" s="24">
        <v>0</v>
      </c>
      <c r="E55" s="24">
        <v>0</v>
      </c>
      <c r="F55" s="24">
        <v>0</v>
      </c>
      <c r="G55" s="24">
        <v>425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</row>
    <row r="56" spans="1:15" ht="15" customHeight="1" x14ac:dyDescent="0.2">
      <c r="A56" s="23">
        <v>42</v>
      </c>
      <c r="B56" s="23" t="s">
        <v>321</v>
      </c>
      <c r="C56" s="24">
        <f t="shared" si="1"/>
        <v>425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f>425</f>
        <v>425</v>
      </c>
      <c r="N56" s="24">
        <v>0</v>
      </c>
      <c r="O56" s="24">
        <v>0</v>
      </c>
    </row>
    <row r="57" spans="1:15" ht="15" customHeight="1" x14ac:dyDescent="0.2">
      <c r="A57" s="23">
        <v>42</v>
      </c>
      <c r="B57" s="23" t="s">
        <v>218</v>
      </c>
      <c r="C57" s="24">
        <f t="shared" si="1"/>
        <v>425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425</f>
        <v>425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 x14ac:dyDescent="0.2">
      <c r="A58" s="23">
        <v>42</v>
      </c>
      <c r="B58" s="23" t="s">
        <v>295</v>
      </c>
      <c r="C58" s="24">
        <f t="shared" si="1"/>
        <v>425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425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 x14ac:dyDescent="0.2">
      <c r="A59" s="25">
        <v>43</v>
      </c>
      <c r="B59" s="25" t="s">
        <v>330</v>
      </c>
      <c r="C59" s="19">
        <f t="shared" si="1"/>
        <v>380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130</v>
      </c>
      <c r="O59" s="19">
        <f>250</f>
        <v>250</v>
      </c>
    </row>
    <row r="60" spans="1:15" ht="15" customHeight="1" x14ac:dyDescent="0.2">
      <c r="A60" s="25">
        <v>43</v>
      </c>
      <c r="B60" s="25" t="s">
        <v>263</v>
      </c>
      <c r="C60" s="19">
        <f t="shared" si="1"/>
        <v>380</v>
      </c>
      <c r="D60" s="19">
        <v>0</v>
      </c>
      <c r="E60" s="19">
        <v>0</v>
      </c>
      <c r="F60" s="19">
        <v>250</v>
      </c>
      <c r="G60" s="19">
        <f>130</f>
        <v>130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25">
        <v>44</v>
      </c>
      <c r="B61" s="25" t="s">
        <v>307</v>
      </c>
      <c r="C61" s="19">
        <f t="shared" si="1"/>
        <v>375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>375</f>
        <v>375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5">
        <v>44</v>
      </c>
      <c r="B62" s="25" t="s">
        <v>322</v>
      </c>
      <c r="C62" s="19">
        <f t="shared" si="1"/>
        <v>375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f>375</f>
        <v>375</v>
      </c>
      <c r="N62" s="19">
        <v>0</v>
      </c>
      <c r="O62" s="19">
        <v>0</v>
      </c>
    </row>
    <row r="63" spans="1:15" ht="15" customHeight="1" x14ac:dyDescent="0.2">
      <c r="A63" s="25">
        <v>44</v>
      </c>
      <c r="B63" s="25" t="s">
        <v>332</v>
      </c>
      <c r="C63" s="19">
        <f t="shared" si="1"/>
        <v>375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375</v>
      </c>
    </row>
    <row r="64" spans="1:15" ht="15" customHeight="1" x14ac:dyDescent="0.2">
      <c r="A64" s="25">
        <v>45</v>
      </c>
      <c r="B64" s="25" t="s">
        <v>281</v>
      </c>
      <c r="C64" s="19">
        <f t="shared" si="1"/>
        <v>350</v>
      </c>
      <c r="D64" s="19">
        <v>0</v>
      </c>
      <c r="E64" s="19">
        <v>0</v>
      </c>
      <c r="F64" s="19">
        <v>0</v>
      </c>
      <c r="G64" s="19">
        <f>350</f>
        <v>350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5">
        <v>45</v>
      </c>
      <c r="B65" s="25" t="s">
        <v>258</v>
      </c>
      <c r="C65" s="19">
        <f t="shared" si="1"/>
        <v>350</v>
      </c>
      <c r="D65" s="19">
        <v>0</v>
      </c>
      <c r="E65" s="19">
        <v>350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45</v>
      </c>
      <c r="B66" s="25" t="s">
        <v>299</v>
      </c>
      <c r="C66" s="19">
        <f t="shared" si="1"/>
        <v>350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350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25">
        <v>46</v>
      </c>
      <c r="B67" s="25" t="s">
        <v>282</v>
      </c>
      <c r="C67" s="19">
        <f t="shared" si="1"/>
        <v>325</v>
      </c>
      <c r="D67" s="19">
        <v>0</v>
      </c>
      <c r="E67" s="19">
        <v>0</v>
      </c>
      <c r="F67" s="19">
        <v>0</v>
      </c>
      <c r="G67" s="19">
        <f>325</f>
        <v>325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314</v>
      </c>
      <c r="C68" s="19">
        <f t="shared" si="1"/>
        <v>325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f>325</f>
        <v>325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25">
        <v>47</v>
      </c>
      <c r="B69" s="25" t="s">
        <v>324</v>
      </c>
      <c r="C69" s="19">
        <f t="shared" si="1"/>
        <v>320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>160</f>
        <v>160</v>
      </c>
      <c r="O69" s="19">
        <v>160</v>
      </c>
    </row>
    <row r="70" spans="1:15" ht="15" customHeight="1" x14ac:dyDescent="0.2">
      <c r="A70" s="25">
        <v>48</v>
      </c>
      <c r="B70" s="25" t="s">
        <v>305</v>
      </c>
      <c r="C70" s="19">
        <f t="shared" si="1"/>
        <v>315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f>115</f>
        <v>115</v>
      </c>
      <c r="K70" s="19">
        <v>0</v>
      </c>
      <c r="L70" s="19">
        <v>0</v>
      </c>
      <c r="M70" s="19">
        <v>0</v>
      </c>
      <c r="N70" s="19">
        <f>200</f>
        <v>200</v>
      </c>
      <c r="O70" s="19">
        <v>0</v>
      </c>
    </row>
    <row r="71" spans="1:15" ht="15" customHeight="1" x14ac:dyDescent="0.2">
      <c r="A71" s="25">
        <v>49</v>
      </c>
      <c r="B71" s="25" t="s">
        <v>323</v>
      </c>
      <c r="C71" s="19">
        <f t="shared" si="1"/>
        <v>300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300</v>
      </c>
      <c r="N71" s="19">
        <v>0</v>
      </c>
      <c r="O71" s="19">
        <v>0</v>
      </c>
    </row>
    <row r="72" spans="1:15" ht="15" customHeight="1" x14ac:dyDescent="0.2">
      <c r="A72" s="25">
        <v>50</v>
      </c>
      <c r="B72" s="25" t="s">
        <v>262</v>
      </c>
      <c r="C72" s="19">
        <f t="shared" ref="C72:C88" si="2">SUM(D72:O72)</f>
        <v>275</v>
      </c>
      <c r="D72" s="19">
        <v>0</v>
      </c>
      <c r="E72" s="19">
        <v>0</v>
      </c>
      <c r="F72" s="19">
        <v>275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283</v>
      </c>
      <c r="C73" s="19">
        <f t="shared" si="2"/>
        <v>275</v>
      </c>
      <c r="D73" s="19">
        <v>0</v>
      </c>
      <c r="E73" s="19">
        <v>0</v>
      </c>
      <c r="F73" s="19">
        <v>0</v>
      </c>
      <c r="G73" s="19">
        <f>275</f>
        <v>275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252</v>
      </c>
      <c r="C74" s="19">
        <f t="shared" si="2"/>
        <v>250</v>
      </c>
      <c r="D74" s="19">
        <v>250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52</v>
      </c>
      <c r="B75" s="25" t="s">
        <v>264</v>
      </c>
      <c r="C75" s="19">
        <f t="shared" si="2"/>
        <v>225</v>
      </c>
      <c r="D75" s="19">
        <v>0</v>
      </c>
      <c r="E75" s="19">
        <v>0</v>
      </c>
      <c r="F75" s="19">
        <v>225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53</v>
      </c>
      <c r="B76" s="25" t="s">
        <v>289</v>
      </c>
      <c r="C76" s="19">
        <f t="shared" si="2"/>
        <v>200</v>
      </c>
      <c r="D76" s="19">
        <v>0</v>
      </c>
      <c r="E76" s="19">
        <v>0</v>
      </c>
      <c r="F76" s="19">
        <v>0</v>
      </c>
      <c r="G76" s="19">
        <v>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</row>
    <row r="77" spans="1:15" ht="15" customHeight="1" x14ac:dyDescent="0.2">
      <c r="A77" s="25">
        <v>54</v>
      </c>
      <c r="B77" s="25" t="s">
        <v>284</v>
      </c>
      <c r="C77" s="19">
        <f t="shared" si="2"/>
        <v>175</v>
      </c>
      <c r="D77" s="19">
        <v>0</v>
      </c>
      <c r="E77" s="19">
        <v>0</v>
      </c>
      <c r="F77" s="19">
        <v>0</v>
      </c>
      <c r="G77" s="19">
        <f>175</f>
        <v>175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54</v>
      </c>
      <c r="B78" s="25" t="s">
        <v>254</v>
      </c>
      <c r="C78" s="19">
        <f t="shared" si="2"/>
        <v>175</v>
      </c>
      <c r="D78" s="19">
        <v>175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55</v>
      </c>
      <c r="B79" s="25" t="s">
        <v>285</v>
      </c>
      <c r="C79" s="19">
        <f t="shared" si="2"/>
        <v>160</v>
      </c>
      <c r="D79" s="19">
        <v>0</v>
      </c>
      <c r="E79" s="19">
        <v>0</v>
      </c>
      <c r="F79" s="19">
        <v>0</v>
      </c>
      <c r="G79" s="19">
        <f>160</f>
        <v>160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56</v>
      </c>
      <c r="B80" s="25" t="s">
        <v>267</v>
      </c>
      <c r="C80" s="19">
        <f t="shared" si="2"/>
        <v>145</v>
      </c>
      <c r="D80" s="19">
        <v>0</v>
      </c>
      <c r="E80" s="19">
        <v>0</v>
      </c>
      <c r="F80" s="19">
        <v>145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56</v>
      </c>
      <c r="B81" s="25" t="s">
        <v>301</v>
      </c>
      <c r="C81" s="19">
        <f t="shared" si="2"/>
        <v>145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145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56</v>
      </c>
      <c r="B82" s="25" t="s">
        <v>312</v>
      </c>
      <c r="C82" s="19">
        <f t="shared" si="2"/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145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56</v>
      </c>
      <c r="B83" s="25" t="s">
        <v>255</v>
      </c>
      <c r="C83" s="19">
        <f t="shared" si="2"/>
        <v>145</v>
      </c>
      <c r="D83" s="19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15" customHeight="1" x14ac:dyDescent="0.2">
      <c r="A84" s="25">
        <v>56</v>
      </c>
      <c r="B84" s="25" t="s">
        <v>308</v>
      </c>
      <c r="C84" s="19">
        <f t="shared" si="2"/>
        <v>145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145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57</v>
      </c>
      <c r="B85" s="25" t="s">
        <v>325</v>
      </c>
      <c r="C85" s="19">
        <f t="shared" si="2"/>
        <v>130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>130</f>
        <v>130</v>
      </c>
      <c r="O85" s="19">
        <v>0</v>
      </c>
    </row>
    <row r="86" spans="1:15" ht="15" customHeight="1" x14ac:dyDescent="0.2">
      <c r="A86" s="25">
        <v>57</v>
      </c>
      <c r="B86" s="25" t="s">
        <v>311</v>
      </c>
      <c r="C86" s="19">
        <f t="shared" si="2"/>
        <v>130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f>130</f>
        <v>130</v>
      </c>
      <c r="L86" s="19">
        <v>0</v>
      </c>
      <c r="M86" s="19">
        <v>0</v>
      </c>
      <c r="N86" s="19">
        <v>0</v>
      </c>
      <c r="O86" s="19">
        <v>0</v>
      </c>
    </row>
    <row r="87" spans="1:15" ht="15" customHeight="1" x14ac:dyDescent="0.2">
      <c r="A87" s="25">
        <v>57</v>
      </c>
      <c r="B87" s="25" t="s">
        <v>256</v>
      </c>
      <c r="C87" s="19">
        <f t="shared" si="2"/>
        <v>130</v>
      </c>
      <c r="D87" s="19">
        <v>130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15" customHeight="1" x14ac:dyDescent="0.2">
      <c r="A88" s="25">
        <v>58</v>
      </c>
      <c r="B88" s="25" t="s">
        <v>269</v>
      </c>
      <c r="C88" s="19">
        <f t="shared" si="2"/>
        <v>115</v>
      </c>
      <c r="D88" s="19">
        <v>0</v>
      </c>
      <c r="E88" s="19">
        <v>0</v>
      </c>
      <c r="F88" s="19">
        <v>115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</row>
    <row r="90" spans="1:15" ht="18.75" customHeight="1" x14ac:dyDescent="0.25">
      <c r="A90" s="35" t="s">
        <v>3</v>
      </c>
      <c r="B90" s="36"/>
      <c r="C90" s="3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.75" customHeight="1" x14ac:dyDescent="0.25">
      <c r="A91" s="37" t="s">
        <v>4</v>
      </c>
      <c r="B91" s="38"/>
      <c r="C91" s="3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8.75" customHeight="1" x14ac:dyDescent="0.25">
      <c r="A92" s="39" t="s">
        <v>5</v>
      </c>
      <c r="B92" s="40"/>
      <c r="C92" s="4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</sheetData>
  <sortState ref="A8:O88">
    <sortCondition descending="1" ref="C8:C88"/>
  </sortState>
  <mergeCells count="9">
    <mergeCell ref="A90:C90"/>
    <mergeCell ref="A91:C91"/>
    <mergeCell ref="A92:C9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35" t="s">
        <v>3</v>
      </c>
      <c r="B67" s="36"/>
      <c r="C67" s="3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7" t="s">
        <v>4</v>
      </c>
      <c r="B68" s="38"/>
      <c r="C68" s="3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9" t="s">
        <v>5</v>
      </c>
      <c r="B69" s="40"/>
      <c r="C69" s="4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35" t="s">
        <v>3</v>
      </c>
      <c r="B33" s="36"/>
      <c r="C33" s="3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7" t="s">
        <v>4</v>
      </c>
      <c r="B34" s="38"/>
      <c r="C34" s="3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9" t="s">
        <v>5</v>
      </c>
      <c r="B35" s="40"/>
      <c r="C35" s="4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35" t="s">
        <v>3</v>
      </c>
      <c r="B26" s="36"/>
      <c r="C26" s="3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7" t="s">
        <v>4</v>
      </c>
      <c r="B27" s="38"/>
      <c r="C27" s="3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9" t="s">
        <v>5</v>
      </c>
      <c r="B28" s="40"/>
      <c r="C28" s="4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35" t="s">
        <v>3</v>
      </c>
      <c r="B28" s="36"/>
      <c r="C28" s="3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7" t="s">
        <v>4</v>
      </c>
      <c r="B29" s="38"/>
      <c r="C29" s="3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9" t="s">
        <v>5</v>
      </c>
      <c r="B30" s="40"/>
      <c r="C30" s="4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35" t="s">
        <v>3</v>
      </c>
      <c r="B38" s="36"/>
      <c r="C38" s="3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7" t="s">
        <v>4</v>
      </c>
      <c r="B39" s="38"/>
      <c r="C39" s="3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9" t="s">
        <v>5</v>
      </c>
      <c r="B40" s="40"/>
      <c r="C40" s="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35" t="s">
        <v>3</v>
      </c>
      <c r="B44" s="36"/>
      <c r="C44" s="3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7" t="s">
        <v>4</v>
      </c>
      <c r="B45" s="38"/>
      <c r="C45" s="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9" t="s">
        <v>5</v>
      </c>
      <c r="B46" s="40"/>
      <c r="C46" s="4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35" t="s">
        <v>3</v>
      </c>
      <c r="B48" s="36"/>
      <c r="C48" s="3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7" t="s">
        <v>4</v>
      </c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9" t="s">
        <v>5</v>
      </c>
      <c r="B50" s="40"/>
      <c r="C50" s="4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36" customHeight="1" x14ac:dyDescent="0.5">
      <c r="A64" s="55" t="s">
        <v>17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ht="38.25" customHeight="1" x14ac:dyDescent="0.4">
      <c r="A65" s="57" t="s">
        <v>139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t="42" customHeight="1" x14ac:dyDescent="0.4">
      <c r="A66" s="59" t="s">
        <v>145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 ht="42" customHeight="1" x14ac:dyDescent="0.4">
      <c r="A67" s="52" t="s">
        <v>140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1:15" ht="21" customHeight="1" x14ac:dyDescent="0.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8" t="s">
        <v>4</v>
      </c>
      <c r="B83" s="49"/>
      <c r="C83" s="49"/>
      <c r="D83" s="49"/>
    </row>
    <row r="84" spans="1:7" ht="15" x14ac:dyDescent="0.25">
      <c r="A84" s="50" t="s">
        <v>144</v>
      </c>
      <c r="B84" s="51"/>
      <c r="C84" s="51"/>
      <c r="D84" s="51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35" t="s">
        <v>3</v>
      </c>
      <c r="B51" s="36"/>
      <c r="C51" s="3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7" t="s">
        <v>4</v>
      </c>
      <c r="B52" s="38"/>
      <c r="C52" s="3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9" t="s">
        <v>5</v>
      </c>
      <c r="B53" s="40"/>
      <c r="C53" s="4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101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35" t="s">
        <v>3</v>
      </c>
      <c r="B52" s="36"/>
      <c r="C52" s="3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7" t="s">
        <v>4</v>
      </c>
      <c r="B53" s="38"/>
      <c r="C53" s="3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9" t="s">
        <v>5</v>
      </c>
      <c r="B54" s="40"/>
      <c r="C54" s="4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35" t="s">
        <v>3</v>
      </c>
      <c r="B43" s="36"/>
      <c r="C43" s="3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7" t="s">
        <v>4</v>
      </c>
      <c r="B44" s="38"/>
      <c r="C44" s="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9" t="s">
        <v>5</v>
      </c>
      <c r="B45" s="40"/>
      <c r="C45" s="4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35" t="s">
        <v>3</v>
      </c>
      <c r="B47" s="36"/>
      <c r="C47" s="3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7" t="s">
        <v>4</v>
      </c>
      <c r="B48" s="38"/>
      <c r="C48" s="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9" t="s">
        <v>5</v>
      </c>
      <c r="B49" s="40"/>
      <c r="C49" s="4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35" t="s">
        <v>3</v>
      </c>
      <c r="B48" s="36"/>
      <c r="C48" s="3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7" t="s">
        <v>4</v>
      </c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9" t="s">
        <v>5</v>
      </c>
      <c r="B50" s="40"/>
      <c r="C50" s="4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9-7-25 - 11-23-25 (2 quarter)</vt:lpstr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  <vt:lpstr>'9-7-25 - 11-23-25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2025-10-19T04:01:39Z</cp:lastPrinted>
  <dcterms:created xsi:type="dcterms:W3CDTF">2013-12-12T05:08:35Z</dcterms:created>
  <dcterms:modified xsi:type="dcterms:W3CDTF">2025-10-22T04:15:20Z</dcterms:modified>
</cp:coreProperties>
</file>