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640" windowHeight="11040"/>
  </bookViews>
  <sheets>
    <sheet name="4-1-26 - 6-30-26 (2026 WSOP)" sheetId="62" r:id="rId1"/>
    <sheet name="6-15-25 - 9-2-25 (1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2">'12-15-24 - 3-16-25 (1 quarter)'!$A$1:$O$69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0">'4-1-26 - 6-30-26 (2026 WSOP)'!$A$1:$F$272</definedName>
    <definedName name="_xlnm.Print_Area" localSheetId="4">'5-4-24 - 7-20-24 (2 quarter)'!$A$1:$O$28</definedName>
    <definedName name="_xlnm.Print_Area" localSheetId="1">'6-15-25 - 9-2-25 (1 quarter)'!$A$1:$O$92</definedName>
    <definedName name="_xlnm.Print_Area" localSheetId="6">'6-4-23 - 9-10-23 (17 month)'!$A$1:$O$40</definedName>
    <definedName name="_xlnm.Print_Area" localSheetId="3">'7-27-24 - 10-12-24 (3 quarter)'!$A$1:$O$35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62" l="1"/>
  <c r="F113" i="62"/>
  <c r="F9" i="62"/>
  <c r="F21" i="62"/>
  <c r="F122" i="62"/>
  <c r="F116" i="62"/>
  <c r="F32" i="62"/>
  <c r="F15" i="62"/>
  <c r="F11" i="62"/>
  <c r="F16" i="62"/>
  <c r="F77" i="62"/>
  <c r="F27" i="62"/>
  <c r="F10" i="62"/>
  <c r="F8" i="62"/>
  <c r="F50" i="62"/>
  <c r="F29" i="62"/>
  <c r="F263" i="62"/>
  <c r="C263" i="62"/>
  <c r="F58" i="62"/>
  <c r="F41" i="62"/>
  <c r="F96" i="62"/>
  <c r="F227" i="62"/>
  <c r="C227" i="62" s="1"/>
  <c r="F47" i="62"/>
  <c r="F88" i="62"/>
  <c r="F199" i="62"/>
  <c r="C199" i="62" s="1"/>
  <c r="F70" i="62"/>
  <c r="F57" i="62"/>
  <c r="F33" i="62"/>
  <c r="F43" i="62"/>
  <c r="F37" i="62"/>
  <c r="F66" i="62"/>
  <c r="F148" i="62"/>
  <c r="C148" i="62" s="1"/>
  <c r="F45" i="62"/>
  <c r="F20" i="62"/>
  <c r="F14" i="62"/>
  <c r="F17" i="62"/>
  <c r="F73" i="62"/>
  <c r="F42" i="62"/>
  <c r="F24" i="62"/>
  <c r="F19" i="62"/>
  <c r="F18" i="62"/>
  <c r="F51" i="62"/>
  <c r="F67" i="62"/>
  <c r="F64" i="62"/>
  <c r="F34" i="62"/>
  <c r="F31" i="62"/>
  <c r="F60" i="62"/>
  <c r="F55" i="62"/>
  <c r="F30" i="62"/>
  <c r="F26" i="62"/>
  <c r="F59" i="62"/>
  <c r="F76" i="62"/>
  <c r="F123" i="62"/>
  <c r="F62" i="62"/>
  <c r="F119" i="62"/>
  <c r="F61" i="62"/>
  <c r="F89" i="62"/>
  <c r="F36" i="62"/>
  <c r="F95" i="62"/>
  <c r="F44" i="62"/>
  <c r="F69" i="62"/>
  <c r="F46" i="62"/>
  <c r="F35" i="62"/>
  <c r="F40" i="62"/>
  <c r="F86" i="62"/>
  <c r="F132" i="62"/>
  <c r="F52" i="62"/>
  <c r="F171" i="62"/>
  <c r="F127" i="62"/>
  <c r="F219" i="62"/>
  <c r="C219" i="62" s="1"/>
  <c r="F63" i="62"/>
  <c r="F99" i="62"/>
  <c r="F39" i="62"/>
  <c r="F53" i="62"/>
  <c r="F110" i="62"/>
  <c r="F48" i="62"/>
  <c r="F79" i="62"/>
  <c r="F147" i="62"/>
  <c r="C147" i="62" s="1"/>
  <c r="F85" i="62"/>
  <c r="F254" i="62"/>
  <c r="C254" i="62" s="1"/>
  <c r="F56" i="62"/>
  <c r="F38" i="62"/>
  <c r="F22" i="62"/>
  <c r="F80" i="62"/>
  <c r="E45" i="62" l="1"/>
  <c r="F252" i="62" l="1"/>
  <c r="C252" i="62"/>
  <c r="F162" i="62"/>
  <c r="C162" i="62"/>
  <c r="F144" i="62"/>
  <c r="C144" i="62" s="1"/>
  <c r="F102" i="62"/>
  <c r="F101" i="62"/>
  <c r="E77" i="62"/>
  <c r="F25" i="62"/>
  <c r="E25" i="62"/>
  <c r="F71" i="62"/>
  <c r="E71" i="62"/>
  <c r="E32" i="62"/>
  <c r="E10" i="62"/>
  <c r="E8" i="62"/>
  <c r="E22" i="62"/>
  <c r="F49" i="62"/>
  <c r="E49" i="62"/>
  <c r="F153" i="62"/>
  <c r="E153" i="62"/>
  <c r="F28" i="62"/>
  <c r="E28" i="62"/>
  <c r="E29" i="62"/>
  <c r="E38" i="62"/>
  <c r="E17" i="62"/>
  <c r="E42" i="62"/>
  <c r="F13" i="62"/>
  <c r="E13" i="62"/>
  <c r="E9" i="62"/>
  <c r="E21" i="62"/>
  <c r="C113" i="62"/>
  <c r="E11" i="62"/>
  <c r="E14" i="62"/>
  <c r="C116" i="62"/>
  <c r="E19" i="62"/>
  <c r="E66" i="62"/>
  <c r="E60" i="62"/>
  <c r="E43" i="62"/>
  <c r="E229" i="62"/>
  <c r="C229" i="62" s="1"/>
  <c r="E102" i="62"/>
  <c r="E57" i="62"/>
  <c r="E206" i="62"/>
  <c r="C206" i="62" s="1"/>
  <c r="E96" i="62"/>
  <c r="E47" i="62"/>
  <c r="E55" i="62"/>
  <c r="E33" i="62"/>
  <c r="E34" i="62"/>
  <c r="E37" i="62"/>
  <c r="E70" i="62"/>
  <c r="E51" i="62"/>
  <c r="E41" i="62"/>
  <c r="E204" i="62"/>
  <c r="C204" i="62" s="1"/>
  <c r="E15" i="62"/>
  <c r="E59" i="62"/>
  <c r="E12" i="62"/>
  <c r="E27" i="62"/>
  <c r="E30" i="62"/>
  <c r="E16" i="62"/>
  <c r="E73" i="62"/>
  <c r="E209" i="62"/>
  <c r="C209" i="62" s="1"/>
  <c r="E24" i="62"/>
  <c r="E86" i="62"/>
  <c r="E63" i="62"/>
  <c r="E117" i="62"/>
  <c r="E79" i="62"/>
  <c r="E48" i="62"/>
  <c r="E139" i="62"/>
  <c r="E39" i="62"/>
  <c r="E84" i="62"/>
  <c r="E72" i="62"/>
  <c r="E81" i="62"/>
  <c r="E169" i="62"/>
  <c r="C169" i="62" s="1"/>
  <c r="E121" i="62"/>
  <c r="E85" i="62"/>
  <c r="E53" i="62"/>
  <c r="E90" i="62"/>
  <c r="E83" i="62"/>
  <c r="E123" i="62"/>
  <c r="E62" i="62"/>
  <c r="E69" i="62"/>
  <c r="E119" i="62"/>
  <c r="E54" i="62"/>
  <c r="E40" i="62"/>
  <c r="E35" i="62"/>
  <c r="E145" i="62"/>
  <c r="E76" i="62"/>
  <c r="E78" i="62"/>
  <c r="E95" i="62"/>
  <c r="E46" i="62"/>
  <c r="E36" i="62"/>
  <c r="E80" i="62"/>
  <c r="E20" i="62"/>
  <c r="E56" i="62"/>
  <c r="E18" i="62"/>
  <c r="E26" i="62"/>
  <c r="E114" i="62"/>
  <c r="E260" i="62"/>
  <c r="C260" i="62" s="1"/>
  <c r="E101" i="62"/>
  <c r="E64" i="62"/>
  <c r="E88" i="62"/>
  <c r="E93" i="62"/>
  <c r="D22" i="62"/>
  <c r="E210" i="62"/>
  <c r="C210" i="62" s="1"/>
  <c r="E194" i="62"/>
  <c r="C194" i="62" s="1"/>
  <c r="E67" i="62"/>
  <c r="E68" i="62"/>
  <c r="E31" i="62"/>
  <c r="E244" i="62"/>
  <c r="C244" i="62" s="1"/>
  <c r="E256" i="62"/>
  <c r="C256" i="62" s="1"/>
  <c r="E202" i="62"/>
  <c r="C202" i="62" s="1"/>
  <c r="E173" i="62"/>
  <c r="C173" i="62" s="1"/>
  <c r="E125" i="62"/>
  <c r="C77" i="62" l="1"/>
  <c r="C96" i="62"/>
  <c r="C22" i="62"/>
  <c r="E176" i="62"/>
  <c r="C176" i="62" s="1"/>
  <c r="C153" i="62"/>
  <c r="E143" i="62"/>
  <c r="C73" i="62"/>
  <c r="E52" i="62"/>
  <c r="E159" i="62"/>
  <c r="E115" i="62"/>
  <c r="E226" i="62"/>
  <c r="C226" i="62" s="1"/>
  <c r="E75" i="62"/>
  <c r="E212" i="62"/>
  <c r="C212" i="62" s="1"/>
  <c r="E191" i="62"/>
  <c r="C191" i="62" s="1"/>
  <c r="E104" i="62"/>
  <c r="C85" i="62"/>
  <c r="E261" i="62"/>
  <c r="C261" i="62" s="1"/>
  <c r="E118" i="62"/>
  <c r="C123" i="62"/>
  <c r="C95" i="62"/>
  <c r="C119" i="62"/>
  <c r="E91" i="62"/>
  <c r="E112" i="62"/>
  <c r="E44" i="62"/>
  <c r="E120" i="62"/>
  <c r="E193" i="62"/>
  <c r="C193" i="62" s="1"/>
  <c r="E268" i="62"/>
  <c r="C268" i="62" s="1"/>
  <c r="C56" i="62"/>
  <c r="E177" i="62"/>
  <c r="E185" i="62"/>
  <c r="C185" i="62" s="1"/>
  <c r="E158" i="62"/>
  <c r="E266" i="62"/>
  <c r="C266" i="62" s="1"/>
  <c r="E138" i="62"/>
  <c r="C218" i="62"/>
  <c r="C30" i="62"/>
  <c r="E140" i="62"/>
  <c r="E183" i="62"/>
  <c r="C183" i="62" s="1"/>
  <c r="C60" i="62"/>
  <c r="E174" i="62"/>
  <c r="C174" i="62" s="1"/>
  <c r="E168" i="62"/>
  <c r="C168" i="62" s="1"/>
  <c r="C57" i="62"/>
  <c r="C51" i="62"/>
  <c r="C93" i="62"/>
  <c r="C70" i="62"/>
  <c r="E58" i="62"/>
  <c r="E137" i="62"/>
  <c r="E98" i="62"/>
  <c r="E103" i="62"/>
  <c r="E239" i="62"/>
  <c r="C239" i="62" s="1"/>
  <c r="E23" i="62"/>
  <c r="E178" i="62"/>
  <c r="C178" i="62" s="1"/>
  <c r="E243" i="62"/>
  <c r="C243" i="62" s="1"/>
  <c r="C80" i="62"/>
  <c r="E136" i="62"/>
  <c r="E267" i="62"/>
  <c r="C267" i="62" s="1"/>
  <c r="E236" i="62"/>
  <c r="C236" i="62" s="1"/>
  <c r="E127" i="62"/>
  <c r="C90" i="62"/>
  <c r="E134" i="62"/>
  <c r="C134" i="62" s="1"/>
  <c r="E150" i="62"/>
  <c r="C150" i="62" s="1"/>
  <c r="C42" i="62"/>
  <c r="E269" i="62"/>
  <c r="C269" i="62" s="1"/>
  <c r="E74" i="62"/>
  <c r="E240" i="62"/>
  <c r="C240" i="62" s="1"/>
  <c r="E135" i="62"/>
  <c r="E190" i="62"/>
  <c r="C190" i="62" s="1"/>
  <c r="E157" i="62"/>
  <c r="E151" i="62"/>
  <c r="E201" i="62"/>
  <c r="C201" i="62" s="1"/>
  <c r="E82" i="62"/>
  <c r="E242" i="62"/>
  <c r="C242" i="62" s="1"/>
  <c r="E50" i="62"/>
  <c r="E122" i="62"/>
  <c r="C122" i="62" s="1"/>
  <c r="E111" i="62"/>
  <c r="D111" i="62"/>
  <c r="E214" i="62"/>
  <c r="C214" i="62" s="1"/>
  <c r="E197" i="62"/>
  <c r="C197" i="62" s="1"/>
  <c r="E179" i="62"/>
  <c r="C179" i="62" s="1"/>
  <c r="E250" i="62"/>
  <c r="C250" i="62" s="1"/>
  <c r="E200" i="62"/>
  <c r="C200" i="62" s="1"/>
  <c r="E180" i="62"/>
  <c r="C180" i="62" s="1"/>
  <c r="E100" i="62"/>
  <c r="E246" i="62"/>
  <c r="C246" i="62" s="1"/>
  <c r="C145" i="62"/>
  <c r="E241" i="62"/>
  <c r="C241" i="62" s="1"/>
  <c r="C221" i="62"/>
  <c r="E160" i="62"/>
  <c r="E232" i="62"/>
  <c r="C232" i="62" s="1"/>
  <c r="E211" i="62"/>
  <c r="C211" i="62" s="1"/>
  <c r="E165" i="62"/>
  <c r="E233" i="62"/>
  <c r="C233" i="62" s="1"/>
  <c r="E216" i="62"/>
  <c r="C216" i="62" s="1"/>
  <c r="D71" i="62"/>
  <c r="D20" i="62"/>
  <c r="D15" i="62"/>
  <c r="D12" i="62"/>
  <c r="D9" i="62"/>
  <c r="D164" i="62"/>
  <c r="C164" i="62" s="1"/>
  <c r="D264" i="62"/>
  <c r="C264" i="62" s="1"/>
  <c r="D35" i="62"/>
  <c r="D76" i="62"/>
  <c r="D61" i="62"/>
  <c r="D8" i="62"/>
  <c r="D91" i="62"/>
  <c r="D205" i="62"/>
  <c r="C205" i="62" s="1"/>
  <c r="D165" i="62"/>
  <c r="D17" i="62"/>
  <c r="D118" i="62"/>
  <c r="D44" i="62"/>
  <c r="D11" i="62"/>
  <c r="D108" i="62"/>
  <c r="D36" i="62"/>
  <c r="D126" i="62"/>
  <c r="D87" i="62"/>
  <c r="D79" i="62"/>
  <c r="D117" i="62"/>
  <c r="D245" i="62"/>
  <c r="C245" i="62" s="1"/>
  <c r="D99" i="62"/>
  <c r="C171" i="62"/>
  <c r="D75" i="62"/>
  <c r="D84" i="62"/>
  <c r="D72" i="62"/>
  <c r="D52" i="62"/>
  <c r="D14" i="62"/>
  <c r="D86" i="62"/>
  <c r="D92" i="62"/>
  <c r="D53" i="62"/>
  <c r="D39" i="62"/>
  <c r="D110" i="62"/>
  <c r="C110" i="62" s="1"/>
  <c r="D97" i="62"/>
  <c r="D62" i="62"/>
  <c r="D152" i="62"/>
  <c r="C152" i="62" s="1"/>
  <c r="D249" i="62"/>
  <c r="C249" i="62" s="1"/>
  <c r="D89" i="62"/>
  <c r="D143" i="62"/>
  <c r="D16" i="62"/>
  <c r="D54" i="62"/>
  <c r="D65" i="62"/>
  <c r="D106" i="62"/>
  <c r="D166" i="62"/>
  <c r="C166" i="62" s="1"/>
  <c r="D124" i="62"/>
  <c r="D94" i="62"/>
  <c r="D82" i="62"/>
  <c r="D114" i="62"/>
  <c r="D158" i="62"/>
  <c r="D27" i="62"/>
  <c r="D13" i="62"/>
  <c r="D10" i="62"/>
  <c r="D26" i="62"/>
  <c r="D78" i="62"/>
  <c r="D29" i="62"/>
  <c r="D135" i="62"/>
  <c r="D24" i="62"/>
  <c r="D18" i="62"/>
  <c r="D25" i="62"/>
  <c r="D38" i="62"/>
  <c r="D138" i="62"/>
  <c r="D21" i="62"/>
  <c r="D19" i="62"/>
  <c r="D198" i="62"/>
  <c r="C198" i="62" s="1"/>
  <c r="D184" i="62"/>
  <c r="C184" i="62" s="1"/>
  <c r="D181" i="62"/>
  <c r="C181" i="62" s="1"/>
  <c r="D28" i="62"/>
  <c r="D74" i="62"/>
  <c r="D23" i="62"/>
  <c r="D37" i="62"/>
  <c r="D34" i="62"/>
  <c r="D102" i="62"/>
  <c r="C102" i="62" s="1"/>
  <c r="D55" i="62"/>
  <c r="D66" i="62"/>
  <c r="D45" i="62"/>
  <c r="D67" i="62"/>
  <c r="D64" i="62"/>
  <c r="D33" i="62"/>
  <c r="D31" i="62"/>
  <c r="D47" i="62"/>
  <c r="D58" i="62"/>
  <c r="D88" i="62"/>
  <c r="D41" i="62"/>
  <c r="D43" i="62"/>
  <c r="D49" i="62"/>
  <c r="D59" i="62"/>
  <c r="D136" i="62"/>
  <c r="D69" i="62"/>
  <c r="D109" i="62"/>
  <c r="D129" i="62"/>
  <c r="C129" i="62" s="1"/>
  <c r="D265" i="62"/>
  <c r="C265" i="62" s="1"/>
  <c r="D248" i="62"/>
  <c r="C248" i="62" s="1"/>
  <c r="D104" i="62"/>
  <c r="D196" i="62"/>
  <c r="C196" i="62" s="1"/>
  <c r="D48" i="62"/>
  <c r="D132" i="62"/>
  <c r="D105" i="62"/>
  <c r="D131" i="62"/>
  <c r="C131" i="62" s="1"/>
  <c r="D231" i="62"/>
  <c r="C231" i="62" s="1"/>
  <c r="D157" i="62"/>
  <c r="D156" i="62"/>
  <c r="C156" i="62" s="1"/>
  <c r="D46" i="62"/>
  <c r="D50" i="62"/>
  <c r="D120" i="62"/>
  <c r="D253" i="62"/>
  <c r="C253" i="62" s="1"/>
  <c r="D238" i="62"/>
  <c r="C238" i="62" s="1"/>
  <c r="D230" i="62"/>
  <c r="C230" i="62" s="1"/>
  <c r="D220" i="62"/>
  <c r="C220" i="62" s="1"/>
  <c r="D215" i="62"/>
  <c r="C215" i="62" s="1"/>
  <c r="D192" i="62"/>
  <c r="C192" i="62" s="1"/>
  <c r="D175" i="62"/>
  <c r="C175" i="62" s="1"/>
  <c r="D189" i="62"/>
  <c r="D140" i="62"/>
  <c r="D207" i="62"/>
  <c r="C207" i="62" s="1"/>
  <c r="D68" i="62"/>
  <c r="D142" i="62"/>
  <c r="C142" i="62" s="1"/>
  <c r="C138" i="62" l="1"/>
  <c r="C143" i="62"/>
  <c r="C120" i="62"/>
  <c r="C158" i="62"/>
  <c r="C104" i="62"/>
  <c r="C157" i="62"/>
  <c r="C111" i="62"/>
  <c r="C67" i="62"/>
  <c r="C136" i="62"/>
  <c r="C64" i="62"/>
  <c r="C135" i="62"/>
  <c r="C114" i="62"/>
  <c r="C165" i="62"/>
  <c r="D32" i="62"/>
  <c r="C59" i="62"/>
  <c r="D223" i="62"/>
  <c r="C223" i="62" s="1"/>
  <c r="C20" i="62"/>
  <c r="C161" i="62"/>
  <c r="C50" i="62"/>
  <c r="C74" i="62"/>
  <c r="C117" i="62"/>
  <c r="C92" i="62"/>
  <c r="C228" i="62"/>
  <c r="D217" i="62"/>
  <c r="C217" i="62" s="1"/>
  <c r="C208" i="62"/>
  <c r="C52" i="62"/>
  <c r="C139" i="62"/>
  <c r="C49" i="62"/>
  <c r="D81" i="62"/>
  <c r="C82" i="62"/>
  <c r="D83" i="62"/>
  <c r="C109" i="62"/>
  <c r="C61" i="62"/>
  <c r="D40" i="62"/>
  <c r="C188" i="62"/>
  <c r="C17" i="62"/>
  <c r="D107" i="62"/>
  <c r="C21" i="62"/>
  <c r="C257" i="62"/>
  <c r="C38" i="62"/>
  <c r="C167" i="62"/>
  <c r="C28" i="62"/>
  <c r="D163" i="62"/>
  <c r="C163" i="62" s="1"/>
  <c r="D258" i="62"/>
  <c r="C258" i="62" s="1"/>
  <c r="D224" i="62"/>
  <c r="C224" i="62" s="1"/>
  <c r="C54" i="62"/>
  <c r="D270" i="62"/>
  <c r="C53" i="62"/>
  <c r="D182" i="62"/>
  <c r="C182" i="62" s="1"/>
  <c r="D151" i="62"/>
  <c r="C151" i="62" s="1"/>
  <c r="C108" i="62"/>
  <c r="D155" i="62"/>
  <c r="C155" i="62" s="1"/>
  <c r="C76" i="62"/>
  <c r="D186" i="62"/>
  <c r="C186" i="62" s="1"/>
  <c r="D130" i="62"/>
  <c r="C130" i="62" s="1"/>
  <c r="C94" i="62"/>
  <c r="C132" i="62"/>
  <c r="D222" i="62"/>
  <c r="C222" i="62" s="1"/>
  <c r="D100" i="62"/>
  <c r="D159" i="62"/>
  <c r="C159" i="62" s="1"/>
  <c r="D262" i="62"/>
  <c r="C262" i="62" s="1"/>
  <c r="D63" i="62"/>
  <c r="C105" i="62"/>
  <c r="C91" i="62"/>
  <c r="C118" i="62"/>
  <c r="D251" i="62"/>
  <c r="C251" i="62" s="1"/>
  <c r="C126" i="62"/>
  <c r="D255" i="62"/>
  <c r="C255" i="62" s="1"/>
  <c r="C124" i="62"/>
  <c r="D112" i="62"/>
  <c r="C112" i="62" s="1"/>
  <c r="C106" i="62"/>
  <c r="D141" i="62"/>
  <c r="C141" i="62" s="1"/>
  <c r="D259" i="62"/>
  <c r="C259" i="62" s="1"/>
  <c r="D101" i="62"/>
  <c r="D235" i="62"/>
  <c r="C235" i="62" s="1"/>
  <c r="C66" i="62"/>
  <c r="C68" i="62"/>
  <c r="C33" i="62"/>
  <c r="D137" i="62"/>
  <c r="C137" i="62" s="1"/>
  <c r="C55" i="62"/>
  <c r="D128" i="62"/>
  <c r="C128" i="62" s="1"/>
  <c r="D203" i="62" l="1"/>
  <c r="C203" i="62" s="1"/>
  <c r="D195" i="62"/>
  <c r="C195" i="62" s="1"/>
  <c r="C71" i="62"/>
  <c r="D121" i="62"/>
  <c r="C121" i="62" s="1"/>
  <c r="D172" i="62"/>
  <c r="C172" i="62" s="1"/>
  <c r="D170" i="62"/>
  <c r="C170" i="62" s="1"/>
  <c r="D115" i="62"/>
  <c r="C115" i="62" s="1"/>
  <c r="D154" i="62"/>
  <c r="C154" i="62" s="1"/>
  <c r="C270" i="62"/>
  <c r="D133" i="62"/>
  <c r="C133" i="62" s="1"/>
  <c r="C72" i="62"/>
  <c r="C86" i="62"/>
  <c r="D234" i="62"/>
  <c r="C234" i="62" s="1"/>
  <c r="C75" i="62"/>
  <c r="C14" i="62"/>
  <c r="C79" i="62"/>
  <c r="C63" i="62"/>
  <c r="D127" i="62"/>
  <c r="C127" i="62" s="1"/>
  <c r="C84" i="62"/>
  <c r="C48" i="62"/>
  <c r="C97" i="62"/>
  <c r="C100" i="62"/>
  <c r="C81" i="62"/>
  <c r="C39" i="62"/>
  <c r="D149" i="62"/>
  <c r="C149" i="62" s="1"/>
  <c r="C99" i="62"/>
  <c r="D247" i="62"/>
  <c r="C247" i="62" s="1"/>
  <c r="D177" i="62"/>
  <c r="C177" i="62" s="1"/>
  <c r="C29" i="62"/>
  <c r="C19" i="62"/>
  <c r="C8" i="62"/>
  <c r="C11" i="62"/>
  <c r="C12" i="62"/>
  <c r="C32" i="62"/>
  <c r="D146" i="62"/>
  <c r="C146" i="62" s="1"/>
  <c r="C23" i="62"/>
  <c r="C62" i="62"/>
  <c r="C87" i="62"/>
  <c r="D237" i="62"/>
  <c r="C237" i="62" s="1"/>
  <c r="C78" i="62"/>
  <c r="C89" i="62"/>
  <c r="C69" i="62"/>
  <c r="C44" i="62"/>
  <c r="C40" i="62"/>
  <c r="C16" i="62"/>
  <c r="C36" i="62"/>
  <c r="C65" i="62"/>
  <c r="C35" i="62"/>
  <c r="C83" i="62"/>
  <c r="C107" i="62"/>
  <c r="D213" i="62"/>
  <c r="C213" i="62" s="1"/>
  <c r="D125" i="62"/>
  <c r="C125" i="62" s="1"/>
  <c r="D187" i="62"/>
  <c r="C187" i="62" s="1"/>
  <c r="C34" i="62"/>
  <c r="C18" i="62"/>
  <c r="C15" i="62"/>
  <c r="D160" i="62"/>
  <c r="C160" i="62" s="1"/>
  <c r="C13" i="62"/>
  <c r="C24" i="62"/>
  <c r="C25" i="62"/>
  <c r="C88" i="62"/>
  <c r="D225" i="62"/>
  <c r="C225" i="62" s="1"/>
  <c r="D98" i="62"/>
  <c r="C98" i="62" s="1"/>
  <c r="C47" i="62"/>
  <c r="C101" i="62"/>
  <c r="C43" i="62"/>
  <c r="C37" i="62"/>
  <c r="C58" i="62"/>
  <c r="C140" i="62"/>
  <c r="C189" i="62"/>
  <c r="D103" i="62"/>
  <c r="C103" i="62" s="1"/>
  <c r="C41" i="62"/>
  <c r="C45" i="62"/>
  <c r="C31" i="62"/>
  <c r="C9" i="62"/>
  <c r="C26" i="62"/>
  <c r="C46" i="62"/>
  <c r="C10" i="62"/>
  <c r="C27" i="62"/>
  <c r="O13" i="61" l="1"/>
  <c r="O8" i="61"/>
  <c r="O22" i="61" l="1"/>
  <c r="O28" i="61"/>
  <c r="O30" i="61"/>
  <c r="O52" i="61"/>
  <c r="O38" i="61"/>
  <c r="O10" i="61"/>
  <c r="O16" i="61"/>
  <c r="O9" i="61"/>
  <c r="O25" i="61"/>
  <c r="C63" i="61"/>
  <c r="C53" i="61"/>
  <c r="O14" i="61"/>
  <c r="O18" i="61" l="1"/>
  <c r="O19" i="61"/>
  <c r="O29" i="61"/>
  <c r="O59" i="61"/>
  <c r="O44" i="61"/>
  <c r="O17" i="61"/>
  <c r="O12" i="61"/>
  <c r="O27" i="61"/>
  <c r="N22" i="61" l="1"/>
  <c r="C59" i="61"/>
  <c r="N16" i="61"/>
  <c r="N9" i="61"/>
  <c r="C52" i="61"/>
  <c r="N10" i="61"/>
  <c r="C44" i="61"/>
  <c r="N8" i="61"/>
  <c r="N13" i="61"/>
  <c r="N12" i="61"/>
  <c r="N20" i="61"/>
  <c r="O15" i="61" l="1"/>
  <c r="O36" i="61"/>
  <c r="O20" i="61"/>
  <c r="O11" i="61"/>
  <c r="O39" i="61"/>
  <c r="N85" i="61" l="1"/>
  <c r="C85" i="61" s="1"/>
  <c r="N14" i="61"/>
  <c r="N69" i="61"/>
  <c r="C69" i="61" s="1"/>
  <c r="N70" i="61"/>
  <c r="N15" i="61"/>
  <c r="N32" i="61"/>
  <c r="N36" i="61"/>
  <c r="N11" i="61"/>
  <c r="M35" i="61" l="1"/>
  <c r="M14" i="61"/>
  <c r="M23" i="61"/>
  <c r="M12" i="61"/>
  <c r="L26" i="61"/>
  <c r="M13" i="61"/>
  <c r="M22" i="61"/>
  <c r="M9" i="61"/>
  <c r="M8" i="61"/>
  <c r="M16" i="61"/>
  <c r="M24" i="61" l="1"/>
  <c r="M32" i="61"/>
  <c r="C71" i="61"/>
  <c r="M62" i="61"/>
  <c r="C62" i="61" s="1"/>
  <c r="M56" i="61"/>
  <c r="C56" i="61" s="1"/>
  <c r="M20" i="61"/>
  <c r="L19" i="61"/>
  <c r="L9" i="61"/>
  <c r="C36" i="61"/>
  <c r="L54" i="61"/>
  <c r="C54" i="61" s="1"/>
  <c r="L11" i="61"/>
  <c r="L25" i="61"/>
  <c r="L12" i="61"/>
  <c r="L15" i="61"/>
  <c r="L51" i="61"/>
  <c r="C51" i="61" s="1"/>
  <c r="L10" i="61"/>
  <c r="L14" i="61"/>
  <c r="L17" i="61"/>
  <c r="L8" i="61"/>
  <c r="L28" i="61"/>
  <c r="L18" i="61"/>
  <c r="L22" i="61"/>
  <c r="L47" i="61"/>
  <c r="C47" i="61" s="1"/>
  <c r="L23" i="61"/>
  <c r="L68" i="61"/>
  <c r="C68" i="61" s="1"/>
  <c r="L32" i="61"/>
  <c r="L35" i="61"/>
  <c r="C35" i="61" s="1"/>
  <c r="K13" i="61" l="1"/>
  <c r="C82" i="61"/>
  <c r="K18" i="61"/>
  <c r="K12" i="61"/>
  <c r="K16" i="61"/>
  <c r="K10" i="61"/>
  <c r="K15" i="61"/>
  <c r="K8" i="61"/>
  <c r="K11" i="61"/>
  <c r="K24" i="61"/>
  <c r="K28" i="61" l="1"/>
  <c r="K86" i="61"/>
  <c r="C86" i="61" s="1"/>
  <c r="K32" i="61"/>
  <c r="C32" i="61" s="1"/>
  <c r="K20" i="61"/>
  <c r="K50" i="61"/>
  <c r="J15" i="61"/>
  <c r="C50" i="61"/>
  <c r="J16" i="61"/>
  <c r="C84" i="61"/>
  <c r="J46" i="61"/>
  <c r="C46" i="61" s="1"/>
  <c r="J13" i="61"/>
  <c r="J8" i="61"/>
  <c r="J12" i="61"/>
  <c r="J28" i="61"/>
  <c r="J14" i="61"/>
  <c r="J11" i="61"/>
  <c r="J61" i="61"/>
  <c r="C61" i="61" s="1"/>
  <c r="J57" i="61"/>
  <c r="C57" i="61" s="1"/>
  <c r="J20" i="61"/>
  <c r="J45" i="61"/>
  <c r="C45" i="61" s="1"/>
  <c r="J70" i="61"/>
  <c r="C70" i="61" s="1"/>
  <c r="J33" i="61"/>
  <c r="J18" i="61"/>
  <c r="J10" i="61"/>
  <c r="J22" i="61"/>
  <c r="J49" i="61"/>
  <c r="C49" i="61" s="1"/>
  <c r="I16" i="61"/>
  <c r="I40" i="61"/>
  <c r="C81" i="61"/>
  <c r="I14" i="61"/>
  <c r="I10" i="61"/>
  <c r="C30" i="61"/>
  <c r="I34" i="61"/>
  <c r="C66" i="61"/>
  <c r="I21" i="61"/>
  <c r="I18" i="61"/>
  <c r="I12" i="61"/>
  <c r="I9" i="61"/>
  <c r="C20" i="61" l="1"/>
  <c r="I22" i="61"/>
  <c r="I15" i="61"/>
  <c r="C31" i="61"/>
  <c r="C12" i="61"/>
  <c r="C14" i="61"/>
  <c r="I23" i="61"/>
  <c r="I8" i="61"/>
  <c r="C58" i="61"/>
  <c r="I13" i="61"/>
  <c r="C38" i="61" l="1"/>
  <c r="H10" i="61"/>
  <c r="H15" i="61"/>
  <c r="H9" i="61"/>
  <c r="H23" i="61"/>
  <c r="H8" i="61"/>
  <c r="H24" i="61"/>
  <c r="H16" i="61"/>
  <c r="H11" i="61"/>
  <c r="H21" i="61"/>
  <c r="H18" i="61"/>
  <c r="H22" i="61" l="1"/>
  <c r="C22" i="61" s="1"/>
  <c r="H17" i="61"/>
  <c r="H40" i="61"/>
  <c r="C40" i="61" s="1"/>
  <c r="H28" i="61"/>
  <c r="C28" i="61" s="1"/>
  <c r="H33" i="61"/>
  <c r="H27" i="61"/>
  <c r="G29" i="61"/>
  <c r="C29" i="61" s="1"/>
  <c r="C18" i="61"/>
  <c r="C16" i="61"/>
  <c r="G13" i="61"/>
  <c r="C76" i="61"/>
  <c r="C25" i="61"/>
  <c r="C19" i="61"/>
  <c r="C55" i="61"/>
  <c r="G60" i="61"/>
  <c r="C60" i="61" s="1"/>
  <c r="G79" i="61"/>
  <c r="C79" i="61" s="1"/>
  <c r="G77" i="61"/>
  <c r="C77" i="61" s="1"/>
  <c r="G42" i="61"/>
  <c r="G8" i="61"/>
  <c r="G73" i="61"/>
  <c r="C73" i="61" s="1"/>
  <c r="G43" i="61"/>
  <c r="C43" i="61" s="1"/>
  <c r="G67" i="61"/>
  <c r="C67" i="61" s="1"/>
  <c r="G64" i="61"/>
  <c r="C64" i="61" s="1"/>
  <c r="G39" i="61"/>
  <c r="C39" i="61" s="1"/>
  <c r="G27" i="61"/>
  <c r="G37" i="61"/>
  <c r="G17" i="61"/>
  <c r="C17" i="61" s="1"/>
  <c r="C88" i="61"/>
  <c r="C80" i="61"/>
  <c r="C11" i="61"/>
  <c r="C15" i="61"/>
  <c r="C75" i="61"/>
  <c r="C72" i="61"/>
  <c r="C26" i="61"/>
  <c r="C27" i="61" l="1"/>
  <c r="C24" i="61"/>
  <c r="C65" i="61"/>
  <c r="C42" i="61"/>
  <c r="C87" i="61" l="1"/>
  <c r="C83" i="61"/>
  <c r="C78" i="61"/>
  <c r="C41" i="61"/>
  <c r="C13" i="61"/>
  <c r="C37" i="61"/>
  <c r="C48" i="61" l="1"/>
  <c r="C8" i="61" l="1"/>
  <c r="C74" i="61"/>
  <c r="C21" i="61"/>
  <c r="C33" i="61"/>
  <c r="C9" i="61" l="1"/>
  <c r="C34" i="61"/>
  <c r="C10" i="61"/>
  <c r="C23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<sst xmlns="http://schemas.openxmlformats.org/spreadsheetml/2006/main" count="919" uniqueCount="564">
  <si>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</si>
  <si>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</si>
  <si>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</si>
  <si>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</si>
  <si>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</si>
  <si>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</si>
  <si>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</si>
  <si>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</si>
  <si>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</si>
  <si>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</si>
  <si>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</si>
  <si>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</si>
  <si>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</si>
  <si>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</si>
  <si>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</si>
  <si>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</si>
  <si>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</si>
  <si>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</si>
  <si>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</si>
  <si>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</si>
  <si>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</si>
  <si>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</si>
  <si>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</si>
  <si>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</si>
  <si>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</si>
  <si>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</si>
  <si>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</si>
  <si>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</si>
  <si>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</si>
  <si>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</si>
  <si>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</si>
  <si>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</si>
  <si>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</si>
  <si>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</si>
  <si>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</si>
  <si>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</si>
  <si>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</si>
  <si>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</si>
  <si>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</si>
  <si>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</si>
  <si>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</si>
  <si>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</si>
  <si>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</si>
  <si>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</si>
  <si>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</si>
  <si>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</si>
  <si>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</si>
  <si>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</si>
  <si>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</si>
  <si>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</si>
  <si>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</si>
  <si>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</si>
  <si>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</si>
  <si>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</si>
  <si>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</si>
  <si>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</si>
  <si>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</si>
  <si>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</si>
  <si>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</si>
  <si>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</si>
  <si>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</si>
  <si>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</si>
  <si>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</si>
  <si>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</si>
  <si>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</si>
  <si>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</si>
  <si>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</si>
  <si>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</si>
  <si>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</si>
  <si>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</si>
  <si>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</si>
  <si>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</si>
  <si>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</si>
  <si>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</si>
  <si>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</si>
  <si>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</si>
  <si>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</si>
  <si>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</si>
  <si>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</si>
  <si>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</si>
  <si>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</si>
  <si>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</si>
  <si>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</si>
  <si>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</si>
  <si>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</si>
  <si>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</si>
  <si>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</si>
  <si>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</si>
  <si>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</si>
  <si>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</si>
  <si>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</si>
  <si>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</si>
  <si>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</si>
  <si>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</si>
  <si>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</si>
  <si>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</si>
  <si>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</si>
  <si>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</si>
  <si>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</si>
  <si>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</si>
  <si>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</si>
  <si>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</si>
  <si>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</si>
  <si>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</si>
  <si>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</si>
  <si>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</si>
  <si>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</si>
  <si>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</si>
  <si>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</si>
  <si>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</si>
  <si>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</si>
  <si>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</si>
  <si>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</si>
  <si>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</si>
  <si>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</si>
  <si>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</si>
  <si>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</si>
  <si>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</si>
  <si>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</si>
  <si>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</si>
  <si>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</si>
  <si>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</si>
  <si>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</si>
  <si>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</si>
  <si>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</si>
  <si>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</si>
  <si>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</si>
  <si>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</si>
  <si>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</si>
  <si>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</si>
  <si>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</si>
  <si>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</si>
  <si>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</si>
  <si>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</si>
  <si>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</si>
  <si>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</si>
  <si>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</si>
  <si>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</si>
  <si>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</si>
  <si>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</si>
  <si>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</si>
  <si>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</si>
  <si>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</si>
  <si>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</si>
  <si>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</si>
  <si>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</si>
  <si>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</si>
  <si>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</si>
  <si>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</si>
  <si>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</si>
  <si>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</si>
  <si>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</si>
  <si>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</si>
  <si>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</si>
  <si>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</si>
  <si>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</si>
  <si>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</si>
  <si>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</si>
  <si>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</si>
  <si>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</si>
  <si>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</si>
  <si>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</si>
  <si>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</si>
  <si>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</si>
  <si>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</si>
  <si>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</si>
  <si>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</si>
  <si>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</si>
  <si>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</si>
  <si>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</si>
  <si>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</si>
  <si>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</si>
  <si>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</si>
  <si>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</si>
  <si>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</si>
  <si>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</si>
  <si>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</si>
  <si>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</si>
  <si>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</si>
  <si>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</si>
  <si>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</si>
  <si>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</si>
  <si>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</si>
  <si>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</si>
  <si>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</si>
  <si>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</si>
  <si>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</si>
  <si>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</si>
  <si>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</si>
  <si>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</si>
  <si>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</si>
  <si>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</si>
  <si>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</si>
  <si>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</si>
  <si>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</si>
  <si>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</si>
  <si>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</si>
  <si>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</si>
  <si>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</si>
  <si>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</si>
  <si>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</si>
  <si>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</si>
  <si>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</si>
  <si>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</si>
  <si>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</si>
  <si>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</si>
  <si>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</si>
  <si>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</si>
  <si>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</si>
  <si>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</si>
  <si>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</si>
  <si>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</si>
  <si>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</si>
  <si>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</si>
  <si>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</si>
  <si>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</si>
  <si>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</si>
  <si>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</si>
  <si>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</si>
  <si>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</si>
  <si>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</si>
  <si>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</si>
  <si>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</si>
  <si>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</si>
  <si>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</si>
  <si>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</si>
  <si>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</si>
  <si>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</si>
  <si>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</si>
  <si>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</si>
  <si>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</si>
  <si>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</si>
  <si>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</si>
  <si>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</si>
  <si>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</si>
  <si>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</si>
  <si>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</si>
  <si>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</si>
  <si>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</si>
  <si>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</si>
  <si>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</si>
  <si>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</si>
  <si>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</si>
  <si>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</si>
  <si>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Becker, Christi</t>
  </si>
  <si>
    <t>Becker, Randy</t>
  </si>
  <si>
    <t>Mauge, Harry</t>
  </si>
  <si>
    <t>ALUMNI SPORTS BAR &amp; GRILL</t>
  </si>
  <si>
    <t>Vela, Meredith</t>
  </si>
  <si>
    <t>Vela, Michael</t>
  </si>
  <si>
    <t>Mhoon, Kevin</t>
  </si>
  <si>
    <t>Ramos, David</t>
  </si>
  <si>
    <t>Bryant, Jennifer</t>
  </si>
  <si>
    <t>Golucke, Brenden</t>
  </si>
  <si>
    <t>Silva, Daniel</t>
  </si>
  <si>
    <t>Istel, Don</t>
  </si>
  <si>
    <t>VanOstran, Douglas</t>
  </si>
  <si>
    <t>Watson, Chris</t>
  </si>
  <si>
    <t>Furlow, Steven</t>
  </si>
  <si>
    <t>Brannon, Joe</t>
  </si>
  <si>
    <t>Oliver, Melissa</t>
  </si>
  <si>
    <t>Martin, Lindy</t>
  </si>
  <si>
    <t>Martin, Alaina</t>
  </si>
  <si>
    <t>Estrada, Tony</t>
  </si>
  <si>
    <t>Martin, Les</t>
  </si>
  <si>
    <t>Howey, Debbie</t>
  </si>
  <si>
    <t>Howey, Raymond</t>
  </si>
  <si>
    <t>Cross, Jeremy</t>
  </si>
  <si>
    <t>Ross, David</t>
  </si>
  <si>
    <t>Kearnes, Bill</t>
  </si>
  <si>
    <t>7/1-7/6</t>
  </si>
  <si>
    <t>7/8-7/13</t>
  </si>
  <si>
    <t>7/15-7/20</t>
  </si>
  <si>
    <t>7/22-7/27</t>
  </si>
  <si>
    <t>7/29-8/3</t>
  </si>
  <si>
    <t>8/5-8/10</t>
  </si>
  <si>
    <t>8/12-8/17</t>
  </si>
  <si>
    <t>8/19-8/24</t>
  </si>
  <si>
    <t>$410 CASH PRIZE</t>
  </si>
  <si>
    <t>Fair, Eddie</t>
  </si>
  <si>
    <t>Harrison, Michael</t>
  </si>
  <si>
    <t>Brown, Casey</t>
  </si>
  <si>
    <t>Linscome, James</t>
  </si>
  <si>
    <t>Roy, Abel</t>
  </si>
  <si>
    <t>Magbee, Jared</t>
  </si>
  <si>
    <t>Sneed, Dustyn</t>
  </si>
  <si>
    <t>Oliver, Barry</t>
  </si>
  <si>
    <t>Caserotti, John</t>
  </si>
  <si>
    <t>Broussard, Brad</t>
  </si>
  <si>
    <t>Lynn, Ryan</t>
  </si>
  <si>
    <t>Bremer, Demetra</t>
  </si>
  <si>
    <t>Bremer, Manny</t>
  </si>
  <si>
    <t>Cook, Tim</t>
  </si>
  <si>
    <t>King, Brad</t>
  </si>
  <si>
    <t>Kellum, Jimmy</t>
  </si>
  <si>
    <t>Vrbnjak, Sanjin</t>
  </si>
  <si>
    <t>Higgs, Nick</t>
  </si>
  <si>
    <t>Degroote, Scott</t>
  </si>
  <si>
    <t>Whitman, Cody</t>
  </si>
  <si>
    <t>Garman, Watson</t>
  </si>
  <si>
    <t>Davis, Chris</t>
  </si>
  <si>
    <t>Davis, Brenda</t>
  </si>
  <si>
    <t>Simmons, Kevin</t>
  </si>
  <si>
    <t>Durham, Jay</t>
  </si>
  <si>
    <t>Johnson, Kristen</t>
  </si>
  <si>
    <t>Quirones, Deangelo</t>
  </si>
  <si>
    <t>Humphrey, Brynden</t>
  </si>
  <si>
    <t>Hill, Karson</t>
  </si>
  <si>
    <t>Robbins, Jessica</t>
  </si>
  <si>
    <t>Starkey, Jan</t>
  </si>
  <si>
    <t>Koonce, Jeremy</t>
  </si>
  <si>
    <t>Starkey, David</t>
  </si>
  <si>
    <t>Franke, Michelle</t>
  </si>
  <si>
    <t>Benavides, Paul</t>
  </si>
  <si>
    <t>Melendez, Richard</t>
  </si>
  <si>
    <t>Elkins, Brad</t>
  </si>
  <si>
    <t>Martin, Karen</t>
  </si>
  <si>
    <t>Hayes, Brian</t>
  </si>
  <si>
    <t>Davidson, Brenda</t>
  </si>
  <si>
    <t>Hayes, Judy</t>
  </si>
  <si>
    <t>Miller, Trent</t>
  </si>
  <si>
    <t>Hardcastle, Jeff</t>
  </si>
  <si>
    <t>Ose, Trever</t>
  </si>
  <si>
    <t>Hudson, Abel</t>
  </si>
  <si>
    <t>Bremer, Holden</t>
  </si>
  <si>
    <t>Munoz, Hector</t>
  </si>
  <si>
    <t>QUARTERLY EVENT:  SUNDAY 9/7/25</t>
  </si>
  <si>
    <t>8/26-9/2</t>
  </si>
  <si>
    <t>Drapalik, Kelly</t>
  </si>
  <si>
    <t>Hayes, Melissa</t>
  </si>
  <si>
    <t>Drapalik, Joe</t>
  </si>
  <si>
    <t>Printz, Wally</t>
  </si>
  <si>
    <t>Thomas, James</t>
  </si>
  <si>
    <t>APRIL</t>
  </si>
  <si>
    <t>MAY</t>
  </si>
  <si>
    <t>Davies, Chris</t>
  </si>
  <si>
    <t>Barber, Charlene</t>
  </si>
  <si>
    <t>Brown, Condriquez</t>
  </si>
  <si>
    <t>Brown, Larry</t>
  </si>
  <si>
    <t>Davis, Adrian</t>
  </si>
  <si>
    <t>Dunn, Jennifer</t>
  </si>
  <si>
    <t>Fields, Debra</t>
  </si>
  <si>
    <t>Haun, Olya</t>
  </si>
  <si>
    <t>Martinez, Patrick</t>
  </si>
  <si>
    <t>McChesnee, Gerldine</t>
  </si>
  <si>
    <t>Osborn, Jerry</t>
  </si>
  <si>
    <t>Osorio, Carlos</t>
  </si>
  <si>
    <t>Perry, Vernon</t>
  </si>
  <si>
    <t>Polar, Daija</t>
  </si>
  <si>
    <t>Rahn, Allyson</t>
  </si>
  <si>
    <t>Spencer, Renee</t>
  </si>
  <si>
    <t>Velez, Domingo</t>
  </si>
  <si>
    <t>Walker, Q</t>
  </si>
  <si>
    <t>JUNE</t>
  </si>
  <si>
    <t>APRIL 1st - JUNE 30th</t>
  </si>
  <si>
    <t>2026 WSOP - SATELLITE SEAT</t>
  </si>
  <si>
    <t>SUMMER VACATION (AIRFARE INCLUDED)</t>
  </si>
  <si>
    <t>Robbinson, Gary</t>
  </si>
  <si>
    <t>Robbinson, Jakob</t>
  </si>
  <si>
    <t>Robbinson, Lisa</t>
  </si>
  <si>
    <t>Parsley, Jared</t>
  </si>
  <si>
    <t>Ramirez, Paul</t>
  </si>
  <si>
    <t>Kinney, Brandon</t>
  </si>
  <si>
    <t>Beerten, Dustin</t>
  </si>
  <si>
    <t>Means, Collin</t>
  </si>
  <si>
    <t>Civale, Matt</t>
  </si>
  <si>
    <t>Hayes, Marshall</t>
  </si>
  <si>
    <t>Clarke, Hayden</t>
  </si>
  <si>
    <t>Brown, Kristen</t>
  </si>
  <si>
    <t>Muro, Humberto</t>
  </si>
  <si>
    <t>Contrels, Brian</t>
  </si>
  <si>
    <t>McMills, Corrie</t>
  </si>
  <si>
    <t>Ijeh, Sam</t>
  </si>
  <si>
    <t>Schaffer, John</t>
  </si>
  <si>
    <t>Pettis, Tanisha</t>
  </si>
  <si>
    <t>Gregsten, Conner</t>
  </si>
  <si>
    <t>Torres, Mark</t>
  </si>
  <si>
    <t>Irwin, Kevin</t>
  </si>
  <si>
    <t>Cymbal, Martin</t>
  </si>
  <si>
    <t>Clark, John</t>
  </si>
  <si>
    <t>Verengen, Ronald</t>
  </si>
  <si>
    <t>Carmody, Karen</t>
  </si>
  <si>
    <t>Sladecek, Jeff</t>
  </si>
  <si>
    <t>Boeshart, Angie</t>
  </si>
  <si>
    <t>Cadenhead, Ken</t>
  </si>
  <si>
    <t>Brooks, Rebecca</t>
  </si>
  <si>
    <t>Boeck, Travis</t>
  </si>
  <si>
    <t>Campos, Emiliano</t>
  </si>
  <si>
    <t>Lawson, Dottie</t>
  </si>
  <si>
    <t>Watts, Kyle</t>
  </si>
  <si>
    <t>Winter, Les</t>
  </si>
  <si>
    <t>Beest, Trena</t>
  </si>
  <si>
    <t>Andrews, Cassie</t>
  </si>
  <si>
    <t>Wiggins, Donnie</t>
  </si>
  <si>
    <t>Beest, Walter</t>
  </si>
  <si>
    <t>Gebert, Chris</t>
  </si>
  <si>
    <t>Darrow, Tyler</t>
  </si>
  <si>
    <t>Higgins, Billy</t>
  </si>
  <si>
    <t>Brookshire, Mason</t>
  </si>
  <si>
    <t>Bloxom, Chase</t>
  </si>
  <si>
    <t>Ratliff, Carmen</t>
  </si>
  <si>
    <t>Kornhauser, Bobbie</t>
  </si>
  <si>
    <t>Bradford, Clayton</t>
  </si>
  <si>
    <t>Schulte, David</t>
  </si>
  <si>
    <t>Cheung, Edward</t>
  </si>
  <si>
    <t>Ramsey, Belinda</t>
  </si>
  <si>
    <t>Bibb, Felicia</t>
  </si>
  <si>
    <t>Cade, Lori</t>
  </si>
  <si>
    <t>Brooks, Tamika</t>
  </si>
  <si>
    <t>Fullilove, Jarrel</t>
  </si>
  <si>
    <t>Munoz, Sam</t>
  </si>
  <si>
    <t>Wendt, Becky</t>
  </si>
  <si>
    <t>Webb, Christian</t>
  </si>
  <si>
    <t>Baker, Jacob</t>
  </si>
  <si>
    <t>Torzewski, Damien</t>
  </si>
  <si>
    <t>Beck, Brent</t>
  </si>
  <si>
    <t>Dawson, Jerry</t>
  </si>
  <si>
    <t>Vanengen, Ronald</t>
  </si>
  <si>
    <t>Johnson, Linda</t>
  </si>
  <si>
    <t>Hunt, Anthony</t>
  </si>
  <si>
    <t>Barnes, Tyree</t>
  </si>
  <si>
    <t>Medina, Matthew</t>
  </si>
  <si>
    <t>Craft, JC</t>
  </si>
  <si>
    <t>Rodriguez, Martha</t>
  </si>
  <si>
    <t>Wetmore, William Sr.</t>
  </si>
  <si>
    <t>Nitscnke, Gabriel</t>
  </si>
  <si>
    <t>Welch, Jack</t>
  </si>
  <si>
    <t>Loudamy, Terry</t>
  </si>
  <si>
    <t>TOP 42 QUALIFIER'S</t>
  </si>
  <si>
    <t>Dean, Allen</t>
  </si>
  <si>
    <t>Pedroza, Eric</t>
  </si>
  <si>
    <t>Morelli, Max</t>
  </si>
  <si>
    <t>Southern, Andrew</t>
  </si>
  <si>
    <t>Merritt, Kelly</t>
  </si>
  <si>
    <t>Raley, Beau</t>
  </si>
  <si>
    <t>Parker, Brad</t>
  </si>
  <si>
    <t>Louton, Dottie</t>
  </si>
  <si>
    <t>White, Charles</t>
  </si>
  <si>
    <t>Harden, Darren</t>
  </si>
  <si>
    <t>Maye, Johnathan</t>
  </si>
  <si>
    <t>Bruner, Adrian</t>
  </si>
  <si>
    <t>Gray, Wes</t>
  </si>
  <si>
    <t>Creagh, Ed</t>
  </si>
  <si>
    <t>O'Neal, Georgia</t>
  </si>
  <si>
    <t>Odum, Gary</t>
  </si>
  <si>
    <t>Williams, Micheal (New)</t>
  </si>
  <si>
    <t>Johnson, Brandon</t>
  </si>
  <si>
    <t>Collins, Alfred</t>
  </si>
  <si>
    <t>Boyer, Amber</t>
  </si>
  <si>
    <t>Deal, Eric</t>
  </si>
  <si>
    <t>Chamberlin, Katrina</t>
  </si>
  <si>
    <t>Arora, Kunsh</t>
  </si>
  <si>
    <t>Sabir, Griffin</t>
  </si>
  <si>
    <t>Taylor, Ricky</t>
  </si>
  <si>
    <t>Gena, Thomas</t>
  </si>
  <si>
    <t>Wright, Neal</t>
  </si>
  <si>
    <t>Shipman, Bobby</t>
  </si>
  <si>
    <t>Jeffries, Dean</t>
  </si>
  <si>
    <t>Neil, Andy</t>
  </si>
  <si>
    <t>Poe, Bob</t>
  </si>
  <si>
    <t>Shipman, Cathy</t>
  </si>
  <si>
    <t>Gamboa, Melanie</t>
  </si>
  <si>
    <t>Carrion, Zach</t>
  </si>
  <si>
    <t>Webb, Melanie</t>
  </si>
  <si>
    <t>Bremer, Missy</t>
  </si>
  <si>
    <t>Duchak, Melinda</t>
  </si>
  <si>
    <t>Williams, Mike</t>
  </si>
  <si>
    <t>Harvey, Jared</t>
  </si>
  <si>
    <t>Billmyre, Ashley</t>
  </si>
  <si>
    <t>Maye, Anthony</t>
  </si>
  <si>
    <t>Laster, Kimber</t>
  </si>
  <si>
    <t>Zamora, James</t>
  </si>
  <si>
    <t>Amadee, Tony</t>
  </si>
  <si>
    <t>Brown, Danzel</t>
  </si>
  <si>
    <t>David, Adrain</t>
  </si>
  <si>
    <t>Rumfield, Nicholas</t>
  </si>
  <si>
    <t>Bagwell, Chuck</t>
  </si>
  <si>
    <t>Longorio, Wesley</t>
  </si>
  <si>
    <t>Pizzuto, Mark</t>
  </si>
  <si>
    <t>Lopez, Michelle</t>
  </si>
  <si>
    <t>Poche, Aaron</t>
  </si>
  <si>
    <t>Ward, Franklin</t>
  </si>
  <si>
    <t>Kelly, Collin</t>
  </si>
  <si>
    <t>Kay, Brianna</t>
  </si>
  <si>
    <t>Livingston, Paul</t>
  </si>
  <si>
    <t>Wurster, Rick</t>
  </si>
  <si>
    <t>Sambrosky, Ginger</t>
  </si>
  <si>
    <t>Hall, Toni</t>
  </si>
  <si>
    <t>Croselane, Rob</t>
  </si>
  <si>
    <t>Hartcall, Jeffery</t>
  </si>
  <si>
    <t>Mequaid, Riley</t>
  </si>
  <si>
    <t>Olaymha, Olayoleuin</t>
  </si>
  <si>
    <t>Cottrell, Cole</t>
  </si>
  <si>
    <t>Fancher, Neil</t>
  </si>
  <si>
    <t>Young, Kyle</t>
  </si>
  <si>
    <t>Sladecek, Ken</t>
  </si>
  <si>
    <t>Cuellar, Luis</t>
  </si>
  <si>
    <t>Jimenez, Cinde</t>
  </si>
  <si>
    <t>Jimenez, Jimmy</t>
  </si>
  <si>
    <t>Soltz, Michael</t>
  </si>
  <si>
    <t>Spencer, Micheal</t>
  </si>
  <si>
    <t>Whalen, Joey</t>
  </si>
  <si>
    <t>Wetmore, William Jr.</t>
  </si>
  <si>
    <t>Hill, Boderick</t>
  </si>
  <si>
    <t>Becker, James</t>
  </si>
  <si>
    <t>Lewis, Bobbie</t>
  </si>
  <si>
    <t>Foster, Monica</t>
  </si>
  <si>
    <t>Western, Nolan</t>
  </si>
  <si>
    <t>Espinoze, Cris</t>
  </si>
  <si>
    <t>Williams, Stephanie</t>
  </si>
  <si>
    <t>Thompson, Scott</t>
  </si>
  <si>
    <t>Brider, Teddy</t>
  </si>
  <si>
    <t>Thompson, Asher</t>
  </si>
  <si>
    <t>Lewter, James</t>
  </si>
  <si>
    <t>Jones, Johnathan</t>
  </si>
  <si>
    <t>Edmiston, Steve</t>
  </si>
  <si>
    <t>Harrison, Sally</t>
  </si>
  <si>
    <t>Harrison, Jerry</t>
  </si>
  <si>
    <t>Howey, Deb</t>
  </si>
  <si>
    <t>Steigerwat, Nick</t>
  </si>
  <si>
    <t>Black, Nicole</t>
  </si>
  <si>
    <t>Slivajr, Jorge</t>
  </si>
  <si>
    <t>Villimer, David</t>
  </si>
  <si>
    <t>Granel, Rudy</t>
  </si>
  <si>
    <t>Barnhill, Earl</t>
  </si>
  <si>
    <t>Crose, Brent</t>
  </si>
  <si>
    <t>Schamp, Cindy</t>
  </si>
  <si>
    <t>Ullom, Allison</t>
  </si>
  <si>
    <t>Plourde, Douglas</t>
  </si>
  <si>
    <t>Gonzalez, Ray</t>
  </si>
  <si>
    <t>Ruyle, Elizabeth</t>
  </si>
  <si>
    <t>Martinez, Jake</t>
  </si>
  <si>
    <t>Williams, Tante</t>
  </si>
  <si>
    <t>Butt, Randall</t>
  </si>
  <si>
    <t>Bhuiyam, Fiz</t>
  </si>
  <si>
    <t>Moore, Amanda</t>
  </si>
  <si>
    <t>Lenoir, Jay</t>
  </si>
  <si>
    <t>Odem, Richard</t>
  </si>
  <si>
    <t>Ervin, Rongiel</t>
  </si>
  <si>
    <t>Schretberger, Brandon</t>
  </si>
  <si>
    <t>Bruner, Rodney</t>
  </si>
  <si>
    <t>Burnes, Bruce</t>
  </si>
  <si>
    <t>TOP - 42 POINT LEADERS QUALIFY</t>
  </si>
  <si>
    <t>Urbine, Luis</t>
  </si>
  <si>
    <t>Santiago, Fred</t>
  </si>
  <si>
    <t>Klasinski, Tammy</t>
  </si>
  <si>
    <t>Saeed, Abdullan</t>
  </si>
  <si>
    <t>Halle, Karen</t>
  </si>
  <si>
    <t>Chilton, Leonard</t>
  </si>
  <si>
    <t>Bass, Carter</t>
  </si>
  <si>
    <t>Soliman, Samett</t>
  </si>
  <si>
    <t>Floyd, Dyanna</t>
  </si>
  <si>
    <t>Hart, Karen</t>
  </si>
  <si>
    <t>Diaz, Cruz</t>
  </si>
  <si>
    <t>Harrse, Torry</t>
  </si>
  <si>
    <t>Ammeter, Adam</t>
  </si>
  <si>
    <t>Dull, Noah</t>
  </si>
  <si>
    <t>Smith, Kellen</t>
  </si>
  <si>
    <t>Wilson, Richard</t>
  </si>
  <si>
    <t>Swindell, Mark</t>
  </si>
  <si>
    <t>Harrison, Shannon</t>
  </si>
  <si>
    <t>Moss, Mike</t>
  </si>
  <si>
    <t>Shepherd, Chris</t>
  </si>
  <si>
    <t>Jewell, Oliver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</si>
</sst>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22"/>
      <color rgb="FF00FF00"/>
      <name val="Arial"/>
      <family val="2"/>
    </font>
    <font>
      <b/>
      <sz val="22"/>
      <color rgb="FFFF0000"/>
      <name val="Arial"/>
      <family val="2"/>
    </font>
    <font>
      <b/>
      <sz val="22"/>
      <color rgb="FFFFFF00"/>
      <name val="Arial"/>
      <family val="2"/>
    </font>
    <font>
      <sz val="9"/>
      <name val="Arial Narrow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0.5"/>
      <color indexed="9"/>
      <name val="Arial"/>
      <family val="2"/>
    </font>
    <font>
      <b/>
      <sz val="23"/>
      <color rgb="FFFFFF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8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41" fillId="29" borderId="15" xfId="0" applyFont="1" applyFill="1" applyBorder="1" applyAlignment="1">
      <alignment horizontal="center" wrapText="1"/>
    </xf>
    <xf numFmtId="0" fontId="41" fillId="0" borderId="0" xfId="0" applyFont="1" applyAlignment="1">
      <alignment horizontal="center" wrapText="1"/>
    </xf>
    <xf numFmtId="1" fontId="43" fillId="0" borderId="10" xfId="37" applyNumberFormat="1" applyFont="1" applyBorder="1" applyAlignment="1">
      <alignment horizontal="center" wrapText="1"/>
    </xf>
    <xf numFmtId="0" fontId="44" fillId="24" borderId="10" xfId="0" applyFont="1" applyFill="1" applyBorder="1" applyAlignment="1">
      <alignment horizontal="center"/>
    </xf>
    <xf numFmtId="164" fontId="44" fillId="24" borderId="10" xfId="0" applyNumberFormat="1" applyFont="1" applyFill="1" applyBorder="1" applyAlignment="1">
      <alignment horizontal="center"/>
    </xf>
    <xf numFmtId="0" fontId="42" fillId="0" borderId="10" xfId="0" applyFont="1" applyBorder="1" applyAlignment="1">
      <alignment horizontal="center" wrapText="1"/>
    </xf>
    <xf numFmtId="0" fontId="42" fillId="26" borderId="10" xfId="0" applyFont="1" applyFill="1" applyBorder="1" applyAlignment="1">
      <alignment horizontal="center" wrapText="1"/>
    </xf>
    <xf numFmtId="1" fontId="43" fillId="26" borderId="10" xfId="37" applyNumberFormat="1" applyFont="1" applyFill="1" applyBorder="1" applyAlignment="1">
      <alignment horizontal="center" wrapText="1"/>
    </xf>
    <xf numFmtId="0" fontId="42" fillId="0" borderId="10" xfId="0" applyFont="1" applyFill="1" applyBorder="1" applyAlignment="1">
      <alignment horizontal="center" wrapText="1"/>
    </xf>
    <xf numFmtId="1" fontId="43" fillId="0" borderId="10" xfId="37" applyNumberFormat="1" applyFont="1" applyFill="1" applyBorder="1" applyAlignment="1">
      <alignment horizontal="center" wrapText="1"/>
    </xf>
    <xf numFmtId="0" fontId="0" fillId="0" borderId="12" xfId="0" applyBorder="1"/>
    <xf numFmtId="0" fontId="45" fillId="25" borderId="10" xfId="0" applyFont="1" applyFill="1" applyBorder="1" applyAlignment="1">
      <alignment horizontal="center"/>
    </xf>
    <xf numFmtId="0" fontId="0" fillId="25" borderId="10" xfId="0" applyFill="1" applyBorder="1"/>
    <xf numFmtId="0" fontId="39" fillId="25" borderId="10" xfId="0" applyFont="1" applyFill="1" applyBorder="1" applyAlignment="1">
      <alignment horizontal="center"/>
    </xf>
    <xf numFmtId="0" fontId="40" fillId="25" borderId="10" xfId="0" applyFont="1" applyFill="1" applyBorder="1" applyAlignment="1">
      <alignment horizontal="center"/>
    </xf>
    <xf numFmtId="0" fontId="38" fillId="25" borderId="10" xfId="0" applyFont="1" applyFill="1" applyBorder="1" applyAlignment="1">
      <alignment horizontal="center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6</xdr:col>
      <xdr:colOff>9524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5972174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2"/>
  <sheetViews>
    <sheetView tabSelected="1" zoomScaleNormal="100" workbookViewId="0">
      <selection activeCell="F45" sqref="F45"/>
    </sheetView>
  </sheetViews>
  <sheetFormatPr defaultRowHeight="12.75" x14ac:dyDescent="0.2"/>
  <cols>
    <col min="1" max="1" width="9" customWidth="1"/>
    <col min="2" max="2" width="25.140625" customWidth="1"/>
    <col min="3" max="3" width="12" customWidth="1"/>
    <col min="4" max="6" width="14.42578125" customWidth="1"/>
    <col min="7" max="7" width="8.7109375" customWidth="1"/>
  </cols>
  <sheetData>
    <row r="1" spans="1:6" ht="126" customHeight="1" x14ac:dyDescent="0.2">
      <c r="A1" s="38"/>
      <c r="B1" s="38"/>
      <c r="C1" s="38"/>
      <c r="D1" s="38"/>
      <c r="E1" s="38"/>
      <c r="F1" s="38"/>
    </row>
    <row r="2" spans="1:6" ht="38.25" customHeight="1" x14ac:dyDescent="0.4">
      <c r="A2" s="39" t="s">
        <v>355</v>
      </c>
      <c r="B2" s="39"/>
      <c r="C2" s="39"/>
      <c r="D2" s="39"/>
      <c r="E2" s="39"/>
      <c r="F2" s="39"/>
    </row>
    <row r="3" spans="1:6" ht="38.25" customHeight="1" x14ac:dyDescent="0.4">
      <c r="A3" s="41" t="s">
        <v>356</v>
      </c>
      <c r="B3" s="41"/>
      <c r="C3" s="41"/>
      <c r="D3" s="41"/>
      <c r="E3" s="41"/>
      <c r="F3" s="41"/>
    </row>
    <row r="4" spans="1:6" ht="38.25" customHeight="1" x14ac:dyDescent="0.4">
      <c r="A4" s="42" t="s">
        <v>354</v>
      </c>
      <c r="B4" s="42"/>
      <c r="C4" s="42"/>
      <c r="D4" s="42"/>
      <c r="E4" s="42"/>
      <c r="F4" s="42"/>
    </row>
    <row r="5" spans="1:6" ht="38.25" customHeight="1" x14ac:dyDescent="0.4">
      <c r="A5" s="43" t="s">
        <v>542</v>
      </c>
      <c r="B5" s="43"/>
      <c r="C5" s="43"/>
      <c r="D5" s="43"/>
      <c r="E5" s="43"/>
      <c r="F5" s="43"/>
    </row>
    <row r="6" spans="1:6" ht="18" customHeight="1" x14ac:dyDescent="0.2">
      <c r="A6" s="40"/>
      <c r="B6" s="40"/>
      <c r="C6" s="40"/>
      <c r="D6" s="40"/>
      <c r="E6" s="40"/>
      <c r="F6" s="40"/>
    </row>
    <row r="7" spans="1:6" ht="15" customHeight="1" x14ac:dyDescent="0.2">
      <c r="A7" s="31" t="s">
        <v>1</v>
      </c>
      <c r="B7" s="31" t="s">
        <v>0</v>
      </c>
      <c r="C7" s="31" t="s">
        <v>2</v>
      </c>
      <c r="D7" s="32" t="s">
        <v>333</v>
      </c>
      <c r="E7" s="32" t="s">
        <v>334</v>
      </c>
      <c r="F7" s="32" t="s">
        <v>353</v>
      </c>
    </row>
    <row r="8" spans="1:6" ht="15" customHeight="1" x14ac:dyDescent="0.2">
      <c r="A8" s="34">
        <v>1</v>
      </c>
      <c r="B8" s="34" t="s">
        <v>349</v>
      </c>
      <c r="C8" s="35">
        <f>SUM(D8:F8)</f>
        <v>14760</v>
      </c>
      <c r="D8" s="35">
        <f>250+175+275+575+145+300+350+200+375+300+300+200+225+200+200+145+475+275+200+175</f>
        <v>5340</v>
      </c>
      <c r="E8" s="35">
        <f>145+115+275+375+325+160+475+200+375+350+250+300+275+225+575+425+375+275+175+350+175+575</f>
        <v>6770</v>
      </c>
      <c r="F8" s="35">
        <f>200+250+325+175+275+575+425+425</f>
        <v>2650</v>
      </c>
    </row>
    <row r="9" spans="1:6" ht="15" customHeight="1" x14ac:dyDescent="0.2">
      <c r="A9" s="34">
        <v>2</v>
      </c>
      <c r="B9" s="34" t="s">
        <v>351</v>
      </c>
      <c r="C9" s="35">
        <f>SUM(D9:F9)</f>
        <v>13990</v>
      </c>
      <c r="D9" s="35">
        <f>300+160+160+375+160+575+375+225+250+375+175+425+130+575+350</f>
        <v>4610</v>
      </c>
      <c r="E9" s="35">
        <f>425+250+250+275+375+575+575+375+350+225+375+250+300+425+475+275+250+350+350+300+300</f>
        <v>7325</v>
      </c>
      <c r="F9" s="35">
        <f>575+575+250+160+350+145</f>
        <v>2055</v>
      </c>
    </row>
    <row r="10" spans="1:6" ht="15" customHeight="1" x14ac:dyDescent="0.2">
      <c r="A10" s="34">
        <v>3</v>
      </c>
      <c r="B10" s="34" t="s">
        <v>134</v>
      </c>
      <c r="C10" s="35">
        <f>SUM(D10:F10)</f>
        <v>12275</v>
      </c>
      <c r="D10" s="35">
        <f>375+325+160+425+575+200+375+115+175+115+300</f>
        <v>3140</v>
      </c>
      <c r="E10" s="35">
        <f>475+475+350+475+425+300+475+425+425+300+425+250+575+300+300+475+475+275</f>
        <v>7200</v>
      </c>
      <c r="F10" s="35">
        <f>175+360+225+325+475+375</f>
        <v>1935</v>
      </c>
    </row>
    <row r="11" spans="1:6" ht="15" customHeight="1" x14ac:dyDescent="0.2">
      <c r="A11" s="34">
        <v>4</v>
      </c>
      <c r="B11" s="34" t="s">
        <v>339</v>
      </c>
      <c r="C11" s="35">
        <f>SUM(D11:F11)</f>
        <v>11555</v>
      </c>
      <c r="D11" s="35">
        <f>300+425+300+325+350+575+130+375+425+225+350+375+350+325+350</f>
        <v>5180</v>
      </c>
      <c r="E11" s="35">
        <f>175+425+300+275+350+325+425+575+225+350+250+300+375+425+325</f>
        <v>5100</v>
      </c>
      <c r="F11" s="35">
        <f>225+200+575+275</f>
        <v>1275</v>
      </c>
    </row>
    <row r="12" spans="1:6" ht="15" customHeight="1" x14ac:dyDescent="0.2">
      <c r="A12" s="34">
        <v>5</v>
      </c>
      <c r="B12" s="34" t="s">
        <v>343</v>
      </c>
      <c r="C12" s="35">
        <f>SUM(D12:F12)</f>
        <v>10810</v>
      </c>
      <c r="D12" s="35">
        <f>275+325+475+325+325+275+325+275+250+325+275+250+325</f>
        <v>4025</v>
      </c>
      <c r="E12" s="35">
        <f>300+350+475+350+250+200+250+250+275+375+300+425+375+375+350+350+250+275</f>
        <v>5775</v>
      </c>
      <c r="F12" s="35">
        <f>200+275+145+275+115</f>
        <v>1010</v>
      </c>
    </row>
    <row r="13" spans="1:6" ht="15" customHeight="1" x14ac:dyDescent="0.2">
      <c r="A13" s="34">
        <v>6</v>
      </c>
      <c r="B13" s="34" t="s">
        <v>352</v>
      </c>
      <c r="C13" s="35">
        <f>SUM(D13:F13)</f>
        <v>10710</v>
      </c>
      <c r="D13" s="35">
        <f>325+375+425+350+160+200+300+375+350+250+300+200</f>
        <v>3610</v>
      </c>
      <c r="E13" s="35">
        <f>200+575+425+325+225+325+200+425+325+175+325+325+225+325+275+475+425+575+475</f>
        <v>6625</v>
      </c>
      <c r="F13" s="35">
        <f>475</f>
        <v>475</v>
      </c>
    </row>
    <row r="14" spans="1:6" ht="15" customHeight="1" x14ac:dyDescent="0.2">
      <c r="A14" s="34">
        <v>7</v>
      </c>
      <c r="B14" s="34" t="s">
        <v>336</v>
      </c>
      <c r="C14" s="35">
        <f>SUM(D14:F14)</f>
        <v>10445</v>
      </c>
      <c r="D14" s="35">
        <f>175+130+200+300+425+425+200+130+575+175+300</f>
        <v>3035</v>
      </c>
      <c r="E14" s="35">
        <f>425+325+300+350+475+160+375+225+375+475+575+350+425+325+375+350</f>
        <v>5885</v>
      </c>
      <c r="F14" s="35">
        <f>575+350+275+325</f>
        <v>1525</v>
      </c>
    </row>
    <row r="15" spans="1:6" ht="15" customHeight="1" x14ac:dyDescent="0.2">
      <c r="A15" s="34">
        <v>8</v>
      </c>
      <c r="B15" s="34" t="s">
        <v>346</v>
      </c>
      <c r="C15" s="35">
        <f>SUM(D15:F15)</f>
        <v>9295</v>
      </c>
      <c r="D15" s="35">
        <f>225+575+115+425+160+225+350+275+375+225+300</f>
        <v>3250</v>
      </c>
      <c r="E15" s="35">
        <f>350+325+160+115+425+250+475+200+160+425+325+275+200+575+130+250+145</f>
        <v>4785</v>
      </c>
      <c r="F15" s="35">
        <f>115+200+175+145+375+250</f>
        <v>1260</v>
      </c>
    </row>
    <row r="16" spans="1:6" ht="15" customHeight="1" x14ac:dyDescent="0.2">
      <c r="A16" s="34">
        <v>9</v>
      </c>
      <c r="B16" s="34" t="s">
        <v>219</v>
      </c>
      <c r="C16" s="35">
        <f>SUM(D16:F16)</f>
        <v>9050</v>
      </c>
      <c r="D16" s="35">
        <f>350+275+225+375+225+250+350+575+275+250+275+350+225</f>
        <v>4000</v>
      </c>
      <c r="E16" s="35">
        <f>325+575+475+350+350+425+575+160+275+130+375</f>
        <v>4015</v>
      </c>
      <c r="F16" s="35">
        <f>160+375+200+300</f>
        <v>1035</v>
      </c>
    </row>
    <row r="17" spans="1:6" ht="15" customHeight="1" x14ac:dyDescent="0.2">
      <c r="A17" s="34">
        <v>10</v>
      </c>
      <c r="B17" s="34" t="s">
        <v>345</v>
      </c>
      <c r="C17" s="35">
        <f>SUM(D17:F17)</f>
        <v>6545</v>
      </c>
      <c r="D17" s="35">
        <f>275+425+475+160+325+300+175+275</f>
        <v>2410</v>
      </c>
      <c r="E17" s="35">
        <f>575+160+300+350+325+175+475+475</f>
        <v>2835</v>
      </c>
      <c r="F17" s="35">
        <f>375+350+575</f>
        <v>1300</v>
      </c>
    </row>
    <row r="18" spans="1:6" ht="15" customHeight="1" x14ac:dyDescent="0.2">
      <c r="A18" s="34">
        <v>11</v>
      </c>
      <c r="B18" s="34" t="s">
        <v>199</v>
      </c>
      <c r="C18" s="35">
        <f>SUM(D18:F18)</f>
        <v>6310</v>
      </c>
      <c r="D18" s="35">
        <f>475+325+475+325+145+575+145+160+200</f>
        <v>2825</v>
      </c>
      <c r="E18" s="35">
        <f>425+275+160+575+375+175+350+175+175+325</f>
        <v>3010</v>
      </c>
      <c r="F18" s="35">
        <f>475</f>
        <v>475</v>
      </c>
    </row>
    <row r="19" spans="1:6" ht="15" customHeight="1" x14ac:dyDescent="0.2">
      <c r="A19" s="34">
        <v>12</v>
      </c>
      <c r="B19" s="34" t="s">
        <v>348</v>
      </c>
      <c r="C19" s="35">
        <f>SUM(D19:F19)</f>
        <v>5925</v>
      </c>
      <c r="D19" s="35">
        <f>250+250+350+250+225+575+300+475</f>
        <v>2675</v>
      </c>
      <c r="E19" s="35">
        <f>375+275+225+275+200+375+350+375+425</f>
        <v>2875</v>
      </c>
      <c r="F19" s="35">
        <f>375</f>
        <v>375</v>
      </c>
    </row>
    <row r="20" spans="1:6" ht="15" customHeight="1" x14ac:dyDescent="0.2">
      <c r="A20" s="34">
        <v>13</v>
      </c>
      <c r="B20" s="34" t="s">
        <v>422</v>
      </c>
      <c r="C20" s="35">
        <f>SUM(D20:F20)</f>
        <v>5605</v>
      </c>
      <c r="D20" s="35">
        <f>145+115+175+375+130+175+275</f>
        <v>1390</v>
      </c>
      <c r="E20" s="35">
        <f>375+145+325+575+145+275+575+425+475+175</f>
        <v>3490</v>
      </c>
      <c r="F20" s="35">
        <f>425+300</f>
        <v>725</v>
      </c>
    </row>
    <row r="21" spans="1:6" ht="15" customHeight="1" x14ac:dyDescent="0.2">
      <c r="A21" s="34">
        <v>14</v>
      </c>
      <c r="B21" s="34" t="s">
        <v>420</v>
      </c>
      <c r="C21" s="35">
        <f>SUM(D21:F21)</f>
        <v>5370</v>
      </c>
      <c r="D21" s="35">
        <f>250+300+475+115+350+425+575+425</f>
        <v>2915</v>
      </c>
      <c r="E21" s="35">
        <f>200+325+225+160+225+160+475+225</f>
        <v>1995</v>
      </c>
      <c r="F21" s="35">
        <f>300+160</f>
        <v>460</v>
      </c>
    </row>
    <row r="22" spans="1:6" ht="15" customHeight="1" x14ac:dyDescent="0.2">
      <c r="A22" s="34">
        <v>15</v>
      </c>
      <c r="B22" s="34" t="s">
        <v>540</v>
      </c>
      <c r="C22" s="35">
        <f>SUM(D22:F22)</f>
        <v>4880</v>
      </c>
      <c r="D22" s="35">
        <f>300+350+130+325+130</f>
        <v>1235</v>
      </c>
      <c r="E22" s="35">
        <f>160+250+130+275+325+175+160+300+325+200+425+145</f>
        <v>2870</v>
      </c>
      <c r="F22" s="35">
        <f>225+175+375</f>
        <v>775</v>
      </c>
    </row>
    <row r="23" spans="1:6" ht="15" customHeight="1" x14ac:dyDescent="0.2">
      <c r="A23" s="34">
        <v>16</v>
      </c>
      <c r="B23" s="34" t="s">
        <v>338</v>
      </c>
      <c r="C23" s="35">
        <f>SUM(D23:F23)</f>
        <v>4790</v>
      </c>
      <c r="D23" s="35">
        <f>375+575+350+375+160+130+160+575</f>
        <v>2700</v>
      </c>
      <c r="E23" s="35">
        <f>250+575+575+300+115+275</f>
        <v>2090</v>
      </c>
      <c r="F23" s="35">
        <v>0</v>
      </c>
    </row>
    <row r="24" spans="1:6" ht="15" customHeight="1" x14ac:dyDescent="0.2">
      <c r="A24" s="34">
        <v>17</v>
      </c>
      <c r="B24" s="34" t="s">
        <v>361</v>
      </c>
      <c r="C24" s="35">
        <f>SUM(D24:F24)</f>
        <v>4660</v>
      </c>
      <c r="D24" s="35">
        <f>350+475+300+160</f>
        <v>1285</v>
      </c>
      <c r="E24" s="35">
        <f>575+200+425+350+225+300+250+375+325</f>
        <v>3025</v>
      </c>
      <c r="F24" s="35">
        <f>350</f>
        <v>350</v>
      </c>
    </row>
    <row r="25" spans="1:6" ht="15" customHeight="1" x14ac:dyDescent="0.2">
      <c r="A25" s="34">
        <v>18</v>
      </c>
      <c r="B25" s="34" t="s">
        <v>308</v>
      </c>
      <c r="C25" s="35">
        <f>SUM(D25:F25)</f>
        <v>4640</v>
      </c>
      <c r="D25" s="35">
        <f>575+575+175+475+275+425+250+115+475+145+325+225</f>
        <v>4035</v>
      </c>
      <c r="E25" s="35">
        <f>250+225</f>
        <v>475</v>
      </c>
      <c r="F25" s="35">
        <f>130</f>
        <v>130</v>
      </c>
    </row>
    <row r="26" spans="1:6" ht="15" customHeight="1" x14ac:dyDescent="0.2">
      <c r="A26" s="34">
        <v>19</v>
      </c>
      <c r="B26" s="34" t="s">
        <v>350</v>
      </c>
      <c r="C26" s="35">
        <f>SUM(D26:F26)</f>
        <v>4625</v>
      </c>
      <c r="D26" s="35">
        <f>175+200+425+175+175+375</f>
        <v>1525</v>
      </c>
      <c r="E26" s="35">
        <f>350+475+575+475+250+300</f>
        <v>2425</v>
      </c>
      <c r="F26" s="35">
        <f>325+350</f>
        <v>675</v>
      </c>
    </row>
    <row r="27" spans="1:6" ht="15" customHeight="1" x14ac:dyDescent="0.2">
      <c r="A27" s="34">
        <v>20</v>
      </c>
      <c r="B27" s="34" t="s">
        <v>340</v>
      </c>
      <c r="C27" s="35">
        <f>SUM(D27:F27)</f>
        <v>4520</v>
      </c>
      <c r="D27" s="35">
        <f>130+275+115+130+200+160</f>
        <v>1010</v>
      </c>
      <c r="E27" s="35">
        <f>275+300+425+160+200+575+225+325</f>
        <v>2485</v>
      </c>
      <c r="F27" s="35">
        <f>425+250+350</f>
        <v>1025</v>
      </c>
    </row>
    <row r="28" spans="1:6" ht="15" customHeight="1" x14ac:dyDescent="0.2">
      <c r="A28" s="34">
        <v>21</v>
      </c>
      <c r="B28" s="34" t="s">
        <v>466</v>
      </c>
      <c r="C28" s="35">
        <f>SUM(D28:F28)</f>
        <v>4495</v>
      </c>
      <c r="D28" s="35">
        <f>250+115+175+250+325+475+375</f>
        <v>1965</v>
      </c>
      <c r="E28" s="35">
        <f>375+225+145+160+225+250+575+275</f>
        <v>2230</v>
      </c>
      <c r="F28" s="35">
        <f>300</f>
        <v>300</v>
      </c>
    </row>
    <row r="29" spans="1:6" ht="15" customHeight="1" x14ac:dyDescent="0.2">
      <c r="A29" s="34">
        <v>22</v>
      </c>
      <c r="B29" s="34" t="s">
        <v>347</v>
      </c>
      <c r="C29" s="35">
        <f>SUM(D29:F29)</f>
        <v>3985</v>
      </c>
      <c r="D29" s="35">
        <f>225+575+300+475</f>
        <v>1575</v>
      </c>
      <c r="E29" s="35">
        <f>225+160+250</f>
        <v>635</v>
      </c>
      <c r="F29" s="35">
        <f>325+275+375+225+575</f>
        <v>1775</v>
      </c>
    </row>
    <row r="30" spans="1:6" ht="15" customHeight="1" x14ac:dyDescent="0.2">
      <c r="A30" s="34">
        <v>23</v>
      </c>
      <c r="B30" s="34" t="s">
        <v>532</v>
      </c>
      <c r="C30" s="35">
        <f>SUM(D30:F30)</f>
        <v>3775</v>
      </c>
      <c r="D30" s="35">
        <v>0</v>
      </c>
      <c r="E30" s="35">
        <f>575+350+575+575+200+350+575+350</f>
        <v>3550</v>
      </c>
      <c r="F30" s="35">
        <f>225</f>
        <v>225</v>
      </c>
    </row>
    <row r="31" spans="1:6" ht="15" customHeight="1" x14ac:dyDescent="0.2">
      <c r="A31" s="34">
        <v>24</v>
      </c>
      <c r="B31" s="34" t="s">
        <v>268</v>
      </c>
      <c r="C31" s="35">
        <f>SUM(D31:F31)</f>
        <v>3675</v>
      </c>
      <c r="D31" s="35">
        <f>475+425+325+325</f>
        <v>1550</v>
      </c>
      <c r="E31" s="35">
        <f>575+250+350+425</f>
        <v>1600</v>
      </c>
      <c r="F31" s="35">
        <f>225+300</f>
        <v>525</v>
      </c>
    </row>
    <row r="32" spans="1:6" ht="15" customHeight="1" x14ac:dyDescent="0.2">
      <c r="A32" s="34">
        <v>25</v>
      </c>
      <c r="B32" s="34" t="s">
        <v>344</v>
      </c>
      <c r="C32" s="35">
        <f>SUM(D32:F32)</f>
        <v>3670</v>
      </c>
      <c r="D32" s="35">
        <f>425+145</f>
        <v>570</v>
      </c>
      <c r="E32" s="35">
        <f>475+225+115+175+575+275+250</f>
        <v>2090</v>
      </c>
      <c r="F32" s="35">
        <f>160+300+325+225</f>
        <v>1010</v>
      </c>
    </row>
    <row r="33" spans="1:6" ht="15" customHeight="1" x14ac:dyDescent="0.2">
      <c r="A33" s="34">
        <v>26</v>
      </c>
      <c r="B33" s="34" t="s">
        <v>229</v>
      </c>
      <c r="C33" s="35">
        <f>SUM(D33:F33)</f>
        <v>3640</v>
      </c>
      <c r="D33" s="35">
        <f>300+575+300</f>
        <v>1175</v>
      </c>
      <c r="E33" s="35">
        <f>300+375+275+160+225+325</f>
        <v>1660</v>
      </c>
      <c r="F33" s="35">
        <f>130+350+325</f>
        <v>805</v>
      </c>
    </row>
    <row r="34" spans="1:6" ht="15" customHeight="1" x14ac:dyDescent="0.2">
      <c r="A34" s="34">
        <v>27</v>
      </c>
      <c r="B34" s="34" t="s">
        <v>335</v>
      </c>
      <c r="C34" s="35">
        <f>SUM(D34:F34)</f>
        <v>3575</v>
      </c>
      <c r="D34" s="35">
        <f>575+325+425+145</f>
        <v>1470</v>
      </c>
      <c r="E34" s="35">
        <f>425+130+375+350</f>
        <v>1280</v>
      </c>
      <c r="F34" s="35">
        <f>575+250</f>
        <v>825</v>
      </c>
    </row>
    <row r="35" spans="1:6" ht="15" customHeight="1" x14ac:dyDescent="0.2">
      <c r="A35" s="34">
        <v>28</v>
      </c>
      <c r="B35" s="34" t="s">
        <v>365</v>
      </c>
      <c r="C35" s="35">
        <f>SUM(D35:F35)</f>
        <v>3505</v>
      </c>
      <c r="D35" s="35">
        <f>475+425+475+475+130</f>
        <v>1980</v>
      </c>
      <c r="E35" s="35">
        <f>425+350+275</f>
        <v>1050</v>
      </c>
      <c r="F35" s="35">
        <f>475</f>
        <v>475</v>
      </c>
    </row>
    <row r="36" spans="1:6" ht="15" customHeight="1" x14ac:dyDescent="0.2">
      <c r="A36" s="34">
        <v>29</v>
      </c>
      <c r="B36" s="34" t="s">
        <v>189</v>
      </c>
      <c r="C36" s="35">
        <f>SUM(D36:F36)</f>
        <v>3475</v>
      </c>
      <c r="D36" s="35">
        <f>300+375+250+375+425</f>
        <v>1725</v>
      </c>
      <c r="E36" s="35">
        <f>375+225+300+575</f>
        <v>1475</v>
      </c>
      <c r="F36" s="35">
        <f>275</f>
        <v>275</v>
      </c>
    </row>
    <row r="37" spans="1:6" ht="15" customHeight="1" x14ac:dyDescent="0.2">
      <c r="A37" s="34">
        <v>30</v>
      </c>
      <c r="B37" s="34" t="s">
        <v>320</v>
      </c>
      <c r="C37" s="35">
        <f>SUM(D37:F37)</f>
        <v>3365</v>
      </c>
      <c r="D37" s="35">
        <f>325+160+130</f>
        <v>615</v>
      </c>
      <c r="E37" s="35">
        <f>475+350+325+575+375</f>
        <v>2100</v>
      </c>
      <c r="F37" s="35">
        <f>160+115+375</f>
        <v>650</v>
      </c>
    </row>
    <row r="38" spans="1:6" ht="15" customHeight="1" x14ac:dyDescent="0.2">
      <c r="A38" s="34">
        <v>31</v>
      </c>
      <c r="B38" s="34" t="s">
        <v>427</v>
      </c>
      <c r="C38" s="35">
        <f>SUM(D38:F38)</f>
        <v>3350</v>
      </c>
      <c r="D38" s="35">
        <f>225+275+225+250</f>
        <v>975</v>
      </c>
      <c r="E38" s="35">
        <f>350+475+300+225+375</f>
        <v>1725</v>
      </c>
      <c r="F38" s="35">
        <f>350+300</f>
        <v>650</v>
      </c>
    </row>
    <row r="39" spans="1:6" ht="15" customHeight="1" x14ac:dyDescent="0.2">
      <c r="A39" s="34">
        <v>32</v>
      </c>
      <c r="B39" s="34" t="s">
        <v>377</v>
      </c>
      <c r="C39" s="35">
        <f>SUM(D39:F39)</f>
        <v>3310</v>
      </c>
      <c r="D39" s="35">
        <f>425+325+160+375+425</f>
        <v>1710</v>
      </c>
      <c r="E39" s="35">
        <f>275+325+475+250</f>
        <v>1325</v>
      </c>
      <c r="F39" s="35">
        <f>275</f>
        <v>275</v>
      </c>
    </row>
    <row r="40" spans="1:6" ht="15" customHeight="1" x14ac:dyDescent="0.2">
      <c r="A40" s="34">
        <v>33</v>
      </c>
      <c r="B40" s="34" t="s">
        <v>201</v>
      </c>
      <c r="C40" s="35">
        <f>SUM(D40:F40)</f>
        <v>3270</v>
      </c>
      <c r="D40" s="35">
        <f>250+575+300+225</f>
        <v>1350</v>
      </c>
      <c r="E40" s="35">
        <f>475+475+145+250</f>
        <v>1345</v>
      </c>
      <c r="F40" s="35">
        <f>575</f>
        <v>575</v>
      </c>
    </row>
    <row r="41" spans="1:6" ht="15" customHeight="1" x14ac:dyDescent="0.2">
      <c r="A41" s="34">
        <v>34</v>
      </c>
      <c r="B41" s="34" t="s">
        <v>249</v>
      </c>
      <c r="C41" s="35">
        <f>SUM(D41:F41)</f>
        <v>3270</v>
      </c>
      <c r="D41" s="35">
        <f>300+200+475</f>
        <v>975</v>
      </c>
      <c r="E41" s="35">
        <f>175+475+350+575</f>
        <v>1575</v>
      </c>
      <c r="F41" s="35">
        <f>250+325+145</f>
        <v>720</v>
      </c>
    </row>
    <row r="42" spans="1:6" ht="15" customHeight="1" x14ac:dyDescent="0.2">
      <c r="A42" s="34">
        <v>35</v>
      </c>
      <c r="B42" s="34" t="s">
        <v>508</v>
      </c>
      <c r="C42" s="35">
        <f>SUM(D42:F42)</f>
        <v>3215</v>
      </c>
      <c r="D42" s="35">
        <v>0</v>
      </c>
      <c r="E42" s="35">
        <f>160+475+275+300+325+275+425</f>
        <v>2235</v>
      </c>
      <c r="F42" s="35">
        <f>425+145+160+250</f>
        <v>980</v>
      </c>
    </row>
    <row r="43" spans="1:6" ht="15" customHeight="1" x14ac:dyDescent="0.2">
      <c r="A43" s="34">
        <v>36</v>
      </c>
      <c r="B43" s="34" t="s">
        <v>296</v>
      </c>
      <c r="C43" s="35">
        <f>SUM(D43:F43)</f>
        <v>3205</v>
      </c>
      <c r="D43" s="35">
        <f>275+160+275+575</f>
        <v>1285</v>
      </c>
      <c r="E43" s="35">
        <f>115+160+300+275+145</f>
        <v>995</v>
      </c>
      <c r="F43" s="35">
        <f>575+350</f>
        <v>925</v>
      </c>
    </row>
    <row r="44" spans="1:6" ht="15" customHeight="1" x14ac:dyDescent="0.2">
      <c r="A44" s="34">
        <v>37</v>
      </c>
      <c r="B44" s="34" t="s">
        <v>216</v>
      </c>
      <c r="C44" s="35">
        <f>SUM(D44:F44)</f>
        <v>3025</v>
      </c>
      <c r="D44" s="35">
        <f>225+325+175+225+325+325</f>
        <v>1600</v>
      </c>
      <c r="E44" s="35">
        <f>275+350+475</f>
        <v>1100</v>
      </c>
      <c r="F44" s="35">
        <f>325</f>
        <v>325</v>
      </c>
    </row>
    <row r="45" spans="1:6" ht="15" customHeight="1" x14ac:dyDescent="0.2">
      <c r="A45" s="34">
        <v>38</v>
      </c>
      <c r="B45" s="34" t="s">
        <v>248</v>
      </c>
      <c r="C45" s="35">
        <f>SUM(D45:F45)</f>
        <v>3025</v>
      </c>
      <c r="D45" s="35">
        <f>425+375+225</f>
        <v>1025</v>
      </c>
      <c r="E45" s="35">
        <f>200+175+575</f>
        <v>950</v>
      </c>
      <c r="F45" s="35">
        <f>300+175+575</f>
        <v>1050</v>
      </c>
    </row>
    <row r="46" spans="1:6" ht="15" customHeight="1" x14ac:dyDescent="0.2">
      <c r="A46" s="34">
        <v>39</v>
      </c>
      <c r="B46" s="34" t="s">
        <v>283</v>
      </c>
      <c r="C46" s="35">
        <f>SUM(D46:F46)</f>
        <v>2965</v>
      </c>
      <c r="D46" s="35">
        <f>325+145+575+160+145+115</f>
        <v>1465</v>
      </c>
      <c r="E46" s="35">
        <f>300+300+475</f>
        <v>1075</v>
      </c>
      <c r="F46" s="35">
        <f>425</f>
        <v>425</v>
      </c>
    </row>
    <row r="47" spans="1:6" ht="15" customHeight="1" x14ac:dyDescent="0.2">
      <c r="A47" s="34">
        <v>40</v>
      </c>
      <c r="B47" s="34" t="s">
        <v>548</v>
      </c>
      <c r="C47" s="35">
        <f>SUM(D47:F47)</f>
        <v>2850</v>
      </c>
      <c r="D47" s="35">
        <f>225+375+350</f>
        <v>950</v>
      </c>
      <c r="E47" s="35">
        <f>325+160+350+200+275</f>
        <v>1310</v>
      </c>
      <c r="F47" s="35">
        <f>115+275+200</f>
        <v>590</v>
      </c>
    </row>
    <row r="48" spans="1:6" ht="15" customHeight="1" x14ac:dyDescent="0.2">
      <c r="A48" s="34">
        <v>41</v>
      </c>
      <c r="B48" s="34" t="s">
        <v>65</v>
      </c>
      <c r="C48" s="35">
        <f>SUM(D48:F48)</f>
        <v>2655</v>
      </c>
      <c r="D48" s="35">
        <f>300+250+575+275</f>
        <v>1400</v>
      </c>
      <c r="E48" s="35">
        <f>130+575+175</f>
        <v>880</v>
      </c>
      <c r="F48" s="35">
        <f>375</f>
        <v>375</v>
      </c>
    </row>
    <row r="49" spans="1:6" ht="15" customHeight="1" x14ac:dyDescent="0.2">
      <c r="A49" s="34">
        <v>42</v>
      </c>
      <c r="B49" s="34" t="s">
        <v>432</v>
      </c>
      <c r="C49" s="35">
        <f>SUM(D49:F49)</f>
        <v>2525</v>
      </c>
      <c r="D49" s="35">
        <f>350+275+325</f>
        <v>950</v>
      </c>
      <c r="E49" s="35">
        <f>175+325+175+425+225</f>
        <v>1325</v>
      </c>
      <c r="F49" s="35">
        <f>250</f>
        <v>250</v>
      </c>
    </row>
    <row r="50" spans="1:6" ht="15" customHeight="1" x14ac:dyDescent="0.2">
      <c r="A50" s="33"/>
      <c r="B50" s="33" t="s">
        <v>424</v>
      </c>
      <c r="C50" s="30">
        <f>SUM(D50:F50)</f>
        <v>2525</v>
      </c>
      <c r="D50" s="30">
        <f>475+575+425+200</f>
        <v>1675</v>
      </c>
      <c r="E50" s="30">
        <f>375</f>
        <v>375</v>
      </c>
      <c r="F50" s="30">
        <f>475</f>
        <v>475</v>
      </c>
    </row>
    <row r="51" spans="1:6" ht="15" customHeight="1" x14ac:dyDescent="0.2">
      <c r="A51" s="36"/>
      <c r="B51" s="36" t="s">
        <v>517</v>
      </c>
      <c r="C51" s="37">
        <f>SUM(D51:F51)</f>
        <v>2505</v>
      </c>
      <c r="D51" s="37">
        <v>0</v>
      </c>
      <c r="E51" s="37">
        <f>425+575+475+475</f>
        <v>1950</v>
      </c>
      <c r="F51" s="37">
        <f>425+130</f>
        <v>555</v>
      </c>
    </row>
    <row r="52" spans="1:6" ht="15" customHeight="1" x14ac:dyDescent="0.2">
      <c r="A52" s="33"/>
      <c r="B52" s="33" t="s">
        <v>434</v>
      </c>
      <c r="C52" s="30">
        <f>SUM(D52:F52)</f>
        <v>2330</v>
      </c>
      <c r="D52" s="30">
        <f>250+375+160+275</f>
        <v>1060</v>
      </c>
      <c r="E52" s="30">
        <f>375+375+375</f>
        <v>1125</v>
      </c>
      <c r="F52" s="30">
        <f>145</f>
        <v>145</v>
      </c>
    </row>
    <row r="53" spans="1:6" ht="15" customHeight="1" x14ac:dyDescent="0.2">
      <c r="A53" s="33"/>
      <c r="B53" s="33" t="s">
        <v>390</v>
      </c>
      <c r="C53" s="30">
        <f>SUM(D53:F53)</f>
        <v>2305</v>
      </c>
      <c r="D53" s="30">
        <f>475+130+375</f>
        <v>980</v>
      </c>
      <c r="E53" s="30">
        <f>300+250+475</f>
        <v>1025</v>
      </c>
      <c r="F53" s="30">
        <f>300</f>
        <v>300</v>
      </c>
    </row>
    <row r="54" spans="1:6" ht="15" customHeight="1" x14ac:dyDescent="0.2">
      <c r="A54" s="33"/>
      <c r="B54" s="33" t="s">
        <v>230</v>
      </c>
      <c r="C54" s="30">
        <f>SUM(D54:F54)</f>
        <v>2300</v>
      </c>
      <c r="D54" s="30">
        <f>225+350+225+350+250</f>
        <v>1400</v>
      </c>
      <c r="E54" s="30">
        <f>425+250+225</f>
        <v>900</v>
      </c>
      <c r="F54" s="30">
        <v>0</v>
      </c>
    </row>
    <row r="55" spans="1:6" ht="15" customHeight="1" x14ac:dyDescent="0.2">
      <c r="A55" s="33"/>
      <c r="B55" s="33" t="s">
        <v>400</v>
      </c>
      <c r="C55" s="30">
        <f>SUM(D55:F55)</f>
        <v>2250</v>
      </c>
      <c r="D55" s="30">
        <f>475+200+175</f>
        <v>850</v>
      </c>
      <c r="E55" s="30">
        <f>300+325+300</f>
        <v>925</v>
      </c>
      <c r="F55" s="30">
        <f>475</f>
        <v>475</v>
      </c>
    </row>
    <row r="56" spans="1:6" ht="15" customHeight="1" x14ac:dyDescent="0.2">
      <c r="A56" s="33"/>
      <c r="B56" s="33" t="s">
        <v>505</v>
      </c>
      <c r="C56" s="30">
        <f>SUM(D56:F56)</f>
        <v>2245</v>
      </c>
      <c r="D56" s="30">
        <v>0</v>
      </c>
      <c r="E56" s="30">
        <f>225+175+115+145+475+175+350+200+225</f>
        <v>2085</v>
      </c>
      <c r="F56" s="30">
        <f>160</f>
        <v>160</v>
      </c>
    </row>
    <row r="57" spans="1:6" ht="15" customHeight="1" x14ac:dyDescent="0.2">
      <c r="A57" s="33"/>
      <c r="B57" s="33" t="s">
        <v>560</v>
      </c>
      <c r="C57" s="30">
        <f>SUM(D57:F57)</f>
        <v>2200</v>
      </c>
      <c r="D57" s="30">
        <v>0</v>
      </c>
      <c r="E57" s="30">
        <f>375+175+425+300+200</f>
        <v>1475</v>
      </c>
      <c r="F57" s="30">
        <f>200+225+300</f>
        <v>725</v>
      </c>
    </row>
    <row r="58" spans="1:6" ht="15" customHeight="1" x14ac:dyDescent="0.2">
      <c r="A58" s="33"/>
      <c r="B58" s="33" t="s">
        <v>313</v>
      </c>
      <c r="C58" s="30">
        <f>SUM(D58:F58)</f>
        <v>2195</v>
      </c>
      <c r="D58" s="30">
        <f>350+275+375</f>
        <v>1000</v>
      </c>
      <c r="E58" s="30">
        <f>350+175+115</f>
        <v>640</v>
      </c>
      <c r="F58" s="30">
        <f>425+130</f>
        <v>555</v>
      </c>
    </row>
    <row r="59" spans="1:6" ht="15" customHeight="1" x14ac:dyDescent="0.2">
      <c r="A59" s="33"/>
      <c r="B59" s="33" t="s">
        <v>426</v>
      </c>
      <c r="C59" s="30">
        <f>SUM(D59:F59)</f>
        <v>2190</v>
      </c>
      <c r="D59" s="30">
        <f>250+160+350</f>
        <v>760</v>
      </c>
      <c r="E59" s="30">
        <f>130+175+250+200+200</f>
        <v>955</v>
      </c>
      <c r="F59" s="30">
        <f>475</f>
        <v>475</v>
      </c>
    </row>
    <row r="60" spans="1:6" ht="15" customHeight="1" x14ac:dyDescent="0.2">
      <c r="A60" s="33"/>
      <c r="B60" s="33" t="s">
        <v>485</v>
      </c>
      <c r="C60" s="30">
        <f>SUM(D60:F60)</f>
        <v>2110</v>
      </c>
      <c r="D60" s="30">
        <v>0</v>
      </c>
      <c r="E60" s="30">
        <f>325+200+300+475+160+130</f>
        <v>1590</v>
      </c>
      <c r="F60" s="30">
        <f>145+375</f>
        <v>520</v>
      </c>
    </row>
    <row r="61" spans="1:6" ht="15" customHeight="1" x14ac:dyDescent="0.2">
      <c r="A61" s="33"/>
      <c r="B61" s="33" t="s">
        <v>228</v>
      </c>
      <c r="C61" s="30">
        <f>SUM(D61:F61)</f>
        <v>2095</v>
      </c>
      <c r="D61" s="30">
        <f>375+475+275+160+425+160</f>
        <v>1870</v>
      </c>
      <c r="E61" s="30">
        <v>0</v>
      </c>
      <c r="F61" s="30">
        <f>225</f>
        <v>225</v>
      </c>
    </row>
    <row r="62" spans="1:6" ht="15" customHeight="1" x14ac:dyDescent="0.2">
      <c r="A62" s="33"/>
      <c r="B62" s="33" t="s">
        <v>372</v>
      </c>
      <c r="C62" s="30">
        <f>SUM(D62:F62)</f>
        <v>2010</v>
      </c>
      <c r="D62" s="30">
        <f>115+475+175+160+115</f>
        <v>1040</v>
      </c>
      <c r="E62" s="30">
        <f>130+275+275+145</f>
        <v>825</v>
      </c>
      <c r="F62" s="30">
        <f>145</f>
        <v>145</v>
      </c>
    </row>
    <row r="63" spans="1:6" ht="15" customHeight="1" x14ac:dyDescent="0.2">
      <c r="A63" s="33"/>
      <c r="B63" s="33" t="s">
        <v>383</v>
      </c>
      <c r="C63" s="30">
        <f>SUM(D63:F63)</f>
        <v>1980</v>
      </c>
      <c r="D63" s="30">
        <f>225+350</f>
        <v>575</v>
      </c>
      <c r="E63" s="30">
        <f>475+200+375+130</f>
        <v>1180</v>
      </c>
      <c r="F63" s="30">
        <f>225</f>
        <v>225</v>
      </c>
    </row>
    <row r="64" spans="1:6" ht="15" customHeight="1" x14ac:dyDescent="0.2">
      <c r="A64" s="33"/>
      <c r="B64" s="33" t="s">
        <v>464</v>
      </c>
      <c r="C64" s="30">
        <f>SUM(D64:F64)</f>
        <v>1970</v>
      </c>
      <c r="D64" s="30">
        <f>250+275</f>
        <v>525</v>
      </c>
      <c r="E64" s="30">
        <f>130+575+145+250+145</f>
        <v>1245</v>
      </c>
      <c r="F64" s="30">
        <f>200</f>
        <v>200</v>
      </c>
    </row>
    <row r="65" spans="1:6" ht="15" customHeight="1" x14ac:dyDescent="0.2">
      <c r="A65" s="33"/>
      <c r="B65" s="33" t="s">
        <v>366</v>
      </c>
      <c r="C65" s="30">
        <f>SUM(D65:F65)</f>
        <v>1945</v>
      </c>
      <c r="D65" s="30">
        <f>375+425+300+425+145+275</f>
        <v>1945</v>
      </c>
      <c r="E65" s="30">
        <v>0</v>
      </c>
      <c r="F65" s="30">
        <v>0</v>
      </c>
    </row>
    <row r="66" spans="1:6" ht="15" customHeight="1" x14ac:dyDescent="0.2">
      <c r="A66" s="33"/>
      <c r="B66" s="33" t="s">
        <v>288</v>
      </c>
      <c r="C66" s="30">
        <f>SUM(D66:F66)</f>
        <v>1860</v>
      </c>
      <c r="D66" s="30">
        <f>225+175+200</f>
        <v>600</v>
      </c>
      <c r="E66" s="30">
        <f>160+225+115</f>
        <v>500</v>
      </c>
      <c r="F66" s="30">
        <f>175+160+425</f>
        <v>760</v>
      </c>
    </row>
    <row r="67" spans="1:6" ht="15" customHeight="1" x14ac:dyDescent="0.2">
      <c r="A67" s="33"/>
      <c r="B67" s="33" t="s">
        <v>299</v>
      </c>
      <c r="C67" s="30">
        <f>SUM(D67:F67)</f>
        <v>1860</v>
      </c>
      <c r="D67" s="30">
        <f>145+250</f>
        <v>395</v>
      </c>
      <c r="E67" s="30">
        <f>145+475+325</f>
        <v>945</v>
      </c>
      <c r="F67" s="30">
        <f>375+145</f>
        <v>520</v>
      </c>
    </row>
    <row r="68" spans="1:6" ht="15" customHeight="1" x14ac:dyDescent="0.2">
      <c r="A68" s="33"/>
      <c r="B68" s="33" t="s">
        <v>244</v>
      </c>
      <c r="C68" s="30">
        <f>SUM(D68:F68)</f>
        <v>1825</v>
      </c>
      <c r="D68" s="30">
        <f>250+300</f>
        <v>550</v>
      </c>
      <c r="E68" s="30">
        <f>250+275+375+375</f>
        <v>1275</v>
      </c>
      <c r="F68" s="30">
        <v>0</v>
      </c>
    </row>
    <row r="69" spans="1:6" ht="15" customHeight="1" x14ac:dyDescent="0.2">
      <c r="A69" s="33"/>
      <c r="B69" s="33" t="s">
        <v>367</v>
      </c>
      <c r="C69" s="30">
        <f>SUM(D69:F69)</f>
        <v>1810</v>
      </c>
      <c r="D69" s="30">
        <f>200+275+200+200</f>
        <v>875</v>
      </c>
      <c r="E69" s="30">
        <f>225+200+160</f>
        <v>585</v>
      </c>
      <c r="F69" s="30">
        <f>350</f>
        <v>350</v>
      </c>
    </row>
    <row r="70" spans="1:6" ht="15" customHeight="1" x14ac:dyDescent="0.2">
      <c r="A70" s="33"/>
      <c r="B70" s="33" t="s">
        <v>516</v>
      </c>
      <c r="C70" s="30">
        <f>SUM(D70:F70)</f>
        <v>1750</v>
      </c>
      <c r="D70" s="30">
        <v>0</v>
      </c>
      <c r="E70" s="30">
        <f>575+200+425</f>
        <v>1200</v>
      </c>
      <c r="F70" s="30">
        <f>275+275</f>
        <v>550</v>
      </c>
    </row>
    <row r="71" spans="1:6" ht="15" customHeight="1" x14ac:dyDescent="0.2">
      <c r="A71" s="33"/>
      <c r="B71" s="33" t="s">
        <v>396</v>
      </c>
      <c r="C71" s="30">
        <f>SUM(D71:F71)</f>
        <v>1670</v>
      </c>
      <c r="D71" s="30">
        <f>275+130+225</f>
        <v>630</v>
      </c>
      <c r="E71" s="30">
        <f>575+175+145</f>
        <v>895</v>
      </c>
      <c r="F71" s="30">
        <f>145</f>
        <v>145</v>
      </c>
    </row>
    <row r="72" spans="1:6" ht="15" customHeight="1" x14ac:dyDescent="0.2">
      <c r="A72" s="33"/>
      <c r="B72" s="33" t="s">
        <v>388</v>
      </c>
      <c r="C72" s="30">
        <f>SUM(D72:F72)</f>
        <v>1615</v>
      </c>
      <c r="D72" s="30">
        <f>115+475+250</f>
        <v>840</v>
      </c>
      <c r="E72" s="30">
        <f>225+250+300</f>
        <v>775</v>
      </c>
      <c r="F72" s="30">
        <v>0</v>
      </c>
    </row>
    <row r="73" spans="1:6" ht="15" customHeight="1" x14ac:dyDescent="0.2">
      <c r="A73" s="33"/>
      <c r="B73" s="33" t="s">
        <v>530</v>
      </c>
      <c r="C73" s="30">
        <f>SUM(D73:F73)</f>
        <v>1610</v>
      </c>
      <c r="D73" s="30">
        <v>0</v>
      </c>
      <c r="E73" s="30">
        <f>250+200+160+200</f>
        <v>810</v>
      </c>
      <c r="F73" s="30">
        <f>175+425+200</f>
        <v>800</v>
      </c>
    </row>
    <row r="74" spans="1:6" ht="15" customHeight="1" x14ac:dyDescent="0.2">
      <c r="A74" s="33"/>
      <c r="B74" s="33" t="s">
        <v>439</v>
      </c>
      <c r="C74" s="30">
        <f>SUM(D74:F74)</f>
        <v>1605</v>
      </c>
      <c r="D74" s="30">
        <f>475+425</f>
        <v>900</v>
      </c>
      <c r="E74" s="30">
        <f>575+130</f>
        <v>705</v>
      </c>
      <c r="F74" s="30">
        <v>0</v>
      </c>
    </row>
    <row r="75" spans="1:6" ht="15" customHeight="1" x14ac:dyDescent="0.2">
      <c r="A75" s="33"/>
      <c r="B75" s="33" t="s">
        <v>385</v>
      </c>
      <c r="C75" s="30">
        <f>SUM(D75:F75)</f>
        <v>1535</v>
      </c>
      <c r="D75" s="30">
        <f>160+325+475+200</f>
        <v>1160</v>
      </c>
      <c r="E75" s="30">
        <f>175+200</f>
        <v>375</v>
      </c>
      <c r="F75" s="30">
        <v>0</v>
      </c>
    </row>
    <row r="76" spans="1:6" ht="15" customHeight="1" x14ac:dyDescent="0.2">
      <c r="A76" s="33"/>
      <c r="B76" s="33" t="s">
        <v>411</v>
      </c>
      <c r="C76" s="30">
        <f>SUM(D76:F76)</f>
        <v>1520</v>
      </c>
      <c r="D76" s="30">
        <f>200+250+145</f>
        <v>595</v>
      </c>
      <c r="E76" s="30">
        <f>325+160+325</f>
        <v>810</v>
      </c>
      <c r="F76" s="30">
        <f>115</f>
        <v>115</v>
      </c>
    </row>
    <row r="77" spans="1:6" ht="15" customHeight="1" x14ac:dyDescent="0.2">
      <c r="A77" s="33"/>
      <c r="B77" s="33" t="s">
        <v>552</v>
      </c>
      <c r="C77" s="30">
        <f>SUM(D77:F77)</f>
        <v>1510</v>
      </c>
      <c r="D77" s="30">
        <v>0</v>
      </c>
      <c r="E77" s="30">
        <f>200</f>
        <v>200</v>
      </c>
      <c r="F77" s="30">
        <f>115+145+300+425+325</f>
        <v>1310</v>
      </c>
    </row>
    <row r="78" spans="1:6" ht="15" customHeight="1" x14ac:dyDescent="0.2">
      <c r="A78" s="33"/>
      <c r="B78" s="33" t="s">
        <v>369</v>
      </c>
      <c r="C78" s="30">
        <f>SUM(D78:F78)</f>
        <v>1510</v>
      </c>
      <c r="D78" s="30">
        <f>160+300+425</f>
        <v>885</v>
      </c>
      <c r="E78" s="30">
        <f>250+375</f>
        <v>625</v>
      </c>
      <c r="F78" s="30">
        <v>0</v>
      </c>
    </row>
    <row r="79" spans="1:6" ht="15" customHeight="1" x14ac:dyDescent="0.2">
      <c r="A79" s="33"/>
      <c r="B79" s="33" t="s">
        <v>384</v>
      </c>
      <c r="C79" s="30">
        <f>SUM(D79:F79)</f>
        <v>1490</v>
      </c>
      <c r="D79" s="30">
        <f>200+115+475+115</f>
        <v>905</v>
      </c>
      <c r="E79" s="30">
        <f>160</f>
        <v>160</v>
      </c>
      <c r="F79" s="30">
        <f>425</f>
        <v>425</v>
      </c>
    </row>
    <row r="80" spans="1:6" ht="15" customHeight="1" x14ac:dyDescent="0.2">
      <c r="A80" s="33"/>
      <c r="B80" s="33" t="s">
        <v>543</v>
      </c>
      <c r="C80" s="30">
        <f>SUM(D80:F80)</f>
        <v>1460</v>
      </c>
      <c r="D80" s="30">
        <v>0</v>
      </c>
      <c r="E80" s="30">
        <f>575+250+160</f>
        <v>985</v>
      </c>
      <c r="F80" s="30">
        <f>475</f>
        <v>475</v>
      </c>
    </row>
    <row r="81" spans="1:6" ht="15" customHeight="1" x14ac:dyDescent="0.2">
      <c r="A81" s="33"/>
      <c r="B81" s="33" t="s">
        <v>378</v>
      </c>
      <c r="C81" s="30">
        <f>SUM(D81:F81)</f>
        <v>1425</v>
      </c>
      <c r="D81" s="30">
        <f>375+375</f>
        <v>750</v>
      </c>
      <c r="E81" s="30">
        <f>350+325</f>
        <v>675</v>
      </c>
      <c r="F81" s="30">
        <v>0</v>
      </c>
    </row>
    <row r="82" spans="1:6" ht="15" customHeight="1" x14ac:dyDescent="0.2">
      <c r="A82" s="33"/>
      <c r="B82" s="33" t="s">
        <v>215</v>
      </c>
      <c r="C82" s="30">
        <f>SUM(D82:F82)</f>
        <v>1395</v>
      </c>
      <c r="D82" s="30">
        <f>115+575+575</f>
        <v>1265</v>
      </c>
      <c r="E82" s="30">
        <f>130</f>
        <v>130</v>
      </c>
      <c r="F82" s="30">
        <v>0</v>
      </c>
    </row>
    <row r="83" spans="1:6" ht="15" customHeight="1" x14ac:dyDescent="0.2">
      <c r="A83" s="33"/>
      <c r="B83" s="33" t="s">
        <v>364</v>
      </c>
      <c r="C83" s="30">
        <f>SUM(D83:F83)</f>
        <v>1395</v>
      </c>
      <c r="D83" s="30">
        <f>575+130</f>
        <v>705</v>
      </c>
      <c r="E83" s="30">
        <f>575+115</f>
        <v>690</v>
      </c>
      <c r="F83" s="30">
        <v>0</v>
      </c>
    </row>
    <row r="84" spans="1:6" ht="15" customHeight="1" x14ac:dyDescent="0.2">
      <c r="A84" s="33"/>
      <c r="B84" s="33" t="s">
        <v>381</v>
      </c>
      <c r="C84" s="30">
        <f>SUM(D84:F84)</f>
        <v>1375</v>
      </c>
      <c r="D84" s="30">
        <f>275+275+225</f>
        <v>775</v>
      </c>
      <c r="E84" s="30">
        <f>325+275</f>
        <v>600</v>
      </c>
      <c r="F84" s="30">
        <v>0</v>
      </c>
    </row>
    <row r="85" spans="1:6" ht="15" customHeight="1" x14ac:dyDescent="0.2">
      <c r="A85" s="33"/>
      <c r="B85" s="33" t="s">
        <v>544</v>
      </c>
      <c r="C85" s="30">
        <f>SUM(D85:F85)</f>
        <v>1350</v>
      </c>
      <c r="D85" s="30">
        <v>0</v>
      </c>
      <c r="E85" s="30">
        <f>350+425</f>
        <v>775</v>
      </c>
      <c r="F85" s="30">
        <f>575</f>
        <v>575</v>
      </c>
    </row>
    <row r="86" spans="1:6" ht="15" customHeight="1" x14ac:dyDescent="0.2">
      <c r="A86" s="33"/>
      <c r="B86" s="33" t="s">
        <v>387</v>
      </c>
      <c r="C86" s="30">
        <f>SUM(D86:F86)</f>
        <v>1310</v>
      </c>
      <c r="D86" s="30">
        <f>130+350+325</f>
        <v>805</v>
      </c>
      <c r="E86" s="30">
        <f>115+160+115</f>
        <v>390</v>
      </c>
      <c r="F86" s="30">
        <f>115</f>
        <v>115</v>
      </c>
    </row>
    <row r="87" spans="1:6" ht="15" customHeight="1" x14ac:dyDescent="0.2">
      <c r="A87" s="33"/>
      <c r="B87" s="33" t="s">
        <v>371</v>
      </c>
      <c r="C87" s="30">
        <f>SUM(D87:F87)</f>
        <v>1280</v>
      </c>
      <c r="D87" s="30">
        <f>130+575+575</f>
        <v>1280</v>
      </c>
      <c r="E87" s="30">
        <v>0</v>
      </c>
      <c r="F87" s="30">
        <v>0</v>
      </c>
    </row>
    <row r="88" spans="1:6" ht="15" customHeight="1" x14ac:dyDescent="0.2">
      <c r="A88" s="33"/>
      <c r="B88" s="33" t="s">
        <v>303</v>
      </c>
      <c r="C88" s="30">
        <f>SUM(D88:F88)</f>
        <v>1230</v>
      </c>
      <c r="D88" s="30">
        <f>130+425</f>
        <v>555</v>
      </c>
      <c r="E88" s="30">
        <f>275+175</f>
        <v>450</v>
      </c>
      <c r="F88" s="30">
        <f>225</f>
        <v>225</v>
      </c>
    </row>
    <row r="89" spans="1:6" ht="15" customHeight="1" x14ac:dyDescent="0.2">
      <c r="A89" s="33"/>
      <c r="B89" s="33" t="s">
        <v>368</v>
      </c>
      <c r="C89" s="30">
        <f>SUM(D89:F89)</f>
        <v>1210</v>
      </c>
      <c r="D89" s="30">
        <f>175+300+325+160</f>
        <v>960</v>
      </c>
      <c r="E89" s="30">
        <v>0</v>
      </c>
      <c r="F89" s="30">
        <f>250</f>
        <v>250</v>
      </c>
    </row>
    <row r="90" spans="1:6" ht="15" customHeight="1" x14ac:dyDescent="0.2">
      <c r="A90" s="33"/>
      <c r="B90" s="33" t="s">
        <v>510</v>
      </c>
      <c r="C90" s="30">
        <f>SUM(D90:F90)</f>
        <v>1175</v>
      </c>
      <c r="D90" s="30">
        <v>0</v>
      </c>
      <c r="E90" s="30">
        <f>275+325+575</f>
        <v>1175</v>
      </c>
      <c r="F90" s="30">
        <v>0</v>
      </c>
    </row>
    <row r="91" spans="1:6" ht="15" customHeight="1" x14ac:dyDescent="0.2">
      <c r="A91" s="33"/>
      <c r="B91" s="33" t="s">
        <v>407</v>
      </c>
      <c r="C91" s="30">
        <f>SUM(D91:F91)</f>
        <v>1165</v>
      </c>
      <c r="D91" s="30">
        <f>175+115+200</f>
        <v>490</v>
      </c>
      <c r="E91" s="30">
        <f>300+375</f>
        <v>675</v>
      </c>
      <c r="F91" s="30">
        <v>0</v>
      </c>
    </row>
    <row r="92" spans="1:6" ht="15" customHeight="1" x14ac:dyDescent="0.2">
      <c r="A92" s="33"/>
      <c r="B92" s="33" t="s">
        <v>415</v>
      </c>
      <c r="C92" s="30">
        <f>SUM(D92:F92)</f>
        <v>1145</v>
      </c>
      <c r="D92" s="30">
        <f>225+145+425+350</f>
        <v>1145</v>
      </c>
      <c r="E92" s="30">
        <v>0</v>
      </c>
      <c r="F92" s="30">
        <v>0</v>
      </c>
    </row>
    <row r="93" spans="1:6" ht="15" customHeight="1" x14ac:dyDescent="0.2">
      <c r="A93" s="33"/>
      <c r="B93" s="33" t="s">
        <v>465</v>
      </c>
      <c r="C93" s="30">
        <f>SUM(D93:F93)</f>
        <v>1065</v>
      </c>
      <c r="D93" s="30">
        <v>115</v>
      </c>
      <c r="E93" s="30">
        <f>475+225+250</f>
        <v>950</v>
      </c>
      <c r="F93" s="30">
        <v>0</v>
      </c>
    </row>
    <row r="94" spans="1:6" ht="15" customHeight="1" x14ac:dyDescent="0.2">
      <c r="A94" s="33"/>
      <c r="B94" s="33" t="s">
        <v>197</v>
      </c>
      <c r="C94" s="30">
        <f>SUM(D94:F94)</f>
        <v>1050</v>
      </c>
      <c r="D94" s="30">
        <f>575+475</f>
        <v>1050</v>
      </c>
      <c r="E94" s="30">
        <v>0</v>
      </c>
      <c r="F94" s="30">
        <v>0</v>
      </c>
    </row>
    <row r="95" spans="1:6" ht="15" customHeight="1" x14ac:dyDescent="0.2">
      <c r="A95" s="33"/>
      <c r="B95" s="33" t="s">
        <v>492</v>
      </c>
      <c r="C95" s="30">
        <f>SUM(D95:F95)</f>
        <v>1040</v>
      </c>
      <c r="D95" s="30">
        <v>0</v>
      </c>
      <c r="E95" s="30">
        <f>115+200+425</f>
        <v>740</v>
      </c>
      <c r="F95" s="30">
        <f>300</f>
        <v>300</v>
      </c>
    </row>
    <row r="96" spans="1:6" ht="15" customHeight="1" x14ac:dyDescent="0.2">
      <c r="A96" s="33"/>
      <c r="B96" s="33" t="s">
        <v>537</v>
      </c>
      <c r="C96" s="30">
        <f>SUM(D96:F96)</f>
        <v>1035</v>
      </c>
      <c r="D96" s="30">
        <v>0</v>
      </c>
      <c r="E96" s="30">
        <f>275+250</f>
        <v>525</v>
      </c>
      <c r="F96" s="30">
        <f>350+160</f>
        <v>510</v>
      </c>
    </row>
    <row r="97" spans="1:6" ht="15" customHeight="1" x14ac:dyDescent="0.2">
      <c r="A97" s="33"/>
      <c r="B97" s="33" t="s">
        <v>380</v>
      </c>
      <c r="C97" s="30">
        <f>SUM(D97:F97)</f>
        <v>1015</v>
      </c>
      <c r="D97" s="30">
        <f>325+115+575</f>
        <v>1015</v>
      </c>
      <c r="E97" s="30">
        <v>0</v>
      </c>
      <c r="F97" s="30">
        <v>0</v>
      </c>
    </row>
    <row r="98" spans="1:6" ht="15" customHeight="1" x14ac:dyDescent="0.2">
      <c r="A98" s="33"/>
      <c r="B98" s="33" t="s">
        <v>293</v>
      </c>
      <c r="C98" s="30">
        <f>SUM(D98:F98)</f>
        <v>1000</v>
      </c>
      <c r="D98" s="30">
        <f>200</f>
        <v>200</v>
      </c>
      <c r="E98" s="30">
        <f>375+425</f>
        <v>800</v>
      </c>
      <c r="F98" s="30">
        <v>0</v>
      </c>
    </row>
    <row r="99" spans="1:6" ht="15" customHeight="1" x14ac:dyDescent="0.2">
      <c r="A99" s="33"/>
      <c r="B99" s="33" t="s">
        <v>132</v>
      </c>
      <c r="C99" s="30">
        <f>SUM(D99:F99)</f>
        <v>985</v>
      </c>
      <c r="D99" s="30">
        <f>575+160</f>
        <v>735</v>
      </c>
      <c r="E99" s="30">
        <v>0</v>
      </c>
      <c r="F99" s="30">
        <f>250</f>
        <v>250</v>
      </c>
    </row>
    <row r="100" spans="1:6" ht="15" customHeight="1" x14ac:dyDescent="0.2">
      <c r="A100" s="33"/>
      <c r="B100" s="33" t="s">
        <v>379</v>
      </c>
      <c r="C100" s="30">
        <f>SUM(D100:F100)</f>
        <v>975</v>
      </c>
      <c r="D100" s="30">
        <f>350+200</f>
        <v>550</v>
      </c>
      <c r="E100" s="30">
        <f>425</f>
        <v>425</v>
      </c>
      <c r="F100" s="30">
        <v>0</v>
      </c>
    </row>
    <row r="101" spans="1:6" ht="15" customHeight="1" x14ac:dyDescent="0.2">
      <c r="A101" s="33"/>
      <c r="B101" s="33" t="s">
        <v>294</v>
      </c>
      <c r="C101" s="30">
        <f>SUM(D101:F101)</f>
        <v>970</v>
      </c>
      <c r="D101" s="30">
        <f>250+115</f>
        <v>365</v>
      </c>
      <c r="E101" s="30">
        <f>130</f>
        <v>130</v>
      </c>
      <c r="F101" s="30">
        <f>475</f>
        <v>475</v>
      </c>
    </row>
    <row r="102" spans="1:6" ht="15" customHeight="1" x14ac:dyDescent="0.2">
      <c r="A102" s="33"/>
      <c r="B102" s="33" t="s">
        <v>246</v>
      </c>
      <c r="C102" s="30">
        <f>SUM(D102:F102)</f>
        <v>960</v>
      </c>
      <c r="D102" s="30">
        <f>160</f>
        <v>160</v>
      </c>
      <c r="E102" s="30">
        <f>300+175</f>
        <v>475</v>
      </c>
      <c r="F102" s="30">
        <f>325</f>
        <v>325</v>
      </c>
    </row>
    <row r="103" spans="1:6" ht="15" customHeight="1" x14ac:dyDescent="0.2">
      <c r="A103" s="33"/>
      <c r="B103" s="33" t="s">
        <v>357</v>
      </c>
      <c r="C103" s="30">
        <f>SUM(D103:F103)</f>
        <v>950</v>
      </c>
      <c r="D103" s="30">
        <f>375</f>
        <v>375</v>
      </c>
      <c r="E103" s="30">
        <f>575</f>
        <v>575</v>
      </c>
      <c r="F103" s="30">
        <v>0</v>
      </c>
    </row>
    <row r="104" spans="1:6" ht="15" customHeight="1" x14ac:dyDescent="0.2">
      <c r="A104" s="33"/>
      <c r="B104" s="33" t="s">
        <v>458</v>
      </c>
      <c r="C104" s="30">
        <f>SUM(D104:F104)</f>
        <v>900</v>
      </c>
      <c r="D104" s="30">
        <f>175</f>
        <v>175</v>
      </c>
      <c r="E104" s="30">
        <f>425+300</f>
        <v>725</v>
      </c>
      <c r="F104" s="30">
        <v>0</v>
      </c>
    </row>
    <row r="105" spans="1:6" ht="15" customHeight="1" x14ac:dyDescent="0.2">
      <c r="A105" s="33"/>
      <c r="B105" s="33" t="s">
        <v>414</v>
      </c>
      <c r="C105" s="30">
        <f>SUM(D105:F105)</f>
        <v>900</v>
      </c>
      <c r="D105" s="30">
        <f>575+325</f>
        <v>900</v>
      </c>
      <c r="E105" s="30">
        <v>0</v>
      </c>
      <c r="F105" s="30">
        <v>0</v>
      </c>
    </row>
    <row r="106" spans="1:6" ht="15" customHeight="1" x14ac:dyDescent="0.2">
      <c r="A106" s="33"/>
      <c r="B106" s="33" t="s">
        <v>405</v>
      </c>
      <c r="C106" s="30">
        <f>SUM(D106:F106)</f>
        <v>875</v>
      </c>
      <c r="D106" s="30">
        <f>350+225+300</f>
        <v>875</v>
      </c>
      <c r="E106" s="30">
        <v>0</v>
      </c>
      <c r="F106" s="30">
        <v>0</v>
      </c>
    </row>
    <row r="107" spans="1:6" ht="15" customHeight="1" x14ac:dyDescent="0.2">
      <c r="A107" s="33"/>
      <c r="B107" s="33" t="s">
        <v>234</v>
      </c>
      <c r="C107" s="30">
        <f>SUM(D107:F107)</f>
        <v>845</v>
      </c>
      <c r="D107" s="30">
        <f>145+350+350</f>
        <v>845</v>
      </c>
      <c r="E107" s="30">
        <v>0</v>
      </c>
      <c r="F107" s="30">
        <v>0</v>
      </c>
    </row>
    <row r="108" spans="1:6" ht="15" customHeight="1" x14ac:dyDescent="0.2">
      <c r="A108" s="33"/>
      <c r="B108" s="33" t="s">
        <v>235</v>
      </c>
      <c r="C108" s="30">
        <f>SUM(D108:F108)</f>
        <v>825</v>
      </c>
      <c r="D108" s="30">
        <f>275+175+375</f>
        <v>825</v>
      </c>
      <c r="E108" s="30">
        <v>0</v>
      </c>
      <c r="F108" s="30">
        <v>0</v>
      </c>
    </row>
    <row r="109" spans="1:6" ht="15" customHeight="1" x14ac:dyDescent="0.2">
      <c r="A109" s="33"/>
      <c r="B109" s="33" t="s">
        <v>410</v>
      </c>
      <c r="C109" s="30">
        <f>SUM(D109:F109)</f>
        <v>820</v>
      </c>
      <c r="D109" s="30">
        <f>250+145+425</f>
        <v>820</v>
      </c>
      <c r="E109" s="30">
        <v>0</v>
      </c>
      <c r="F109" s="30">
        <v>0</v>
      </c>
    </row>
    <row r="110" spans="1:6" ht="15" customHeight="1" x14ac:dyDescent="0.2">
      <c r="A110" s="33"/>
      <c r="B110" s="33" t="s">
        <v>476</v>
      </c>
      <c r="C110" s="30">
        <f>SUM(D110:F110)</f>
        <v>800</v>
      </c>
      <c r="D110" s="30">
        <f>475</f>
        <v>475</v>
      </c>
      <c r="E110" s="30">
        <v>0</v>
      </c>
      <c r="F110" s="30">
        <f>325</f>
        <v>325</v>
      </c>
    </row>
    <row r="111" spans="1:6" ht="15" customHeight="1" x14ac:dyDescent="0.2">
      <c r="A111" s="33"/>
      <c r="B111" s="33" t="s">
        <v>501</v>
      </c>
      <c r="C111" s="30">
        <f>SUM(D111:F111)</f>
        <v>730</v>
      </c>
      <c r="D111" s="30">
        <f>325+115</f>
        <v>440</v>
      </c>
      <c r="E111" s="30">
        <f>145+145</f>
        <v>290</v>
      </c>
      <c r="F111" s="30">
        <v>0</v>
      </c>
    </row>
    <row r="112" spans="1:6" ht="15" customHeight="1" x14ac:dyDescent="0.2">
      <c r="A112" s="33"/>
      <c r="B112" s="33" t="s">
        <v>204</v>
      </c>
      <c r="C112" s="30">
        <f>SUM(D112:F112)</f>
        <v>725</v>
      </c>
      <c r="D112" s="30">
        <f>300</f>
        <v>300</v>
      </c>
      <c r="E112" s="30">
        <f>425</f>
        <v>425</v>
      </c>
      <c r="F112" s="30">
        <v>0</v>
      </c>
    </row>
    <row r="113" spans="1:6" ht="15" customHeight="1" x14ac:dyDescent="0.2">
      <c r="A113" s="33"/>
      <c r="B113" s="33" t="s">
        <v>551</v>
      </c>
      <c r="C113" s="30">
        <f>SUM(D113:F113)</f>
        <v>720</v>
      </c>
      <c r="D113" s="30">
        <v>0</v>
      </c>
      <c r="E113" s="30">
        <v>300</v>
      </c>
      <c r="F113" s="30">
        <f>115+175+130</f>
        <v>420</v>
      </c>
    </row>
    <row r="114" spans="1:6" ht="15" customHeight="1" x14ac:dyDescent="0.2">
      <c r="A114" s="33"/>
      <c r="B114" s="33" t="s">
        <v>473</v>
      </c>
      <c r="C114" s="30">
        <f>SUM(D114:F114)</f>
        <v>715</v>
      </c>
      <c r="D114" s="30">
        <f>115</f>
        <v>115</v>
      </c>
      <c r="E114" s="30">
        <f>175+425</f>
        <v>600</v>
      </c>
      <c r="F114" s="30">
        <v>0</v>
      </c>
    </row>
    <row r="115" spans="1:6" ht="15" customHeight="1" x14ac:dyDescent="0.2">
      <c r="A115" s="33"/>
      <c r="B115" s="33" t="s">
        <v>392</v>
      </c>
      <c r="C115" s="30">
        <f>SUM(D115:F115)</f>
        <v>705</v>
      </c>
      <c r="D115" s="30">
        <f>375</f>
        <v>375</v>
      </c>
      <c r="E115" s="30">
        <f>200+130</f>
        <v>330</v>
      </c>
      <c r="F115" s="30">
        <v>0</v>
      </c>
    </row>
    <row r="116" spans="1:6" ht="15" customHeight="1" x14ac:dyDescent="0.2">
      <c r="A116" s="33"/>
      <c r="B116" s="33" t="s">
        <v>550</v>
      </c>
      <c r="C116" s="30">
        <f>SUM(D116:F116)</f>
        <v>705</v>
      </c>
      <c r="D116" s="30">
        <v>0</v>
      </c>
      <c r="E116" s="30">
        <v>375</v>
      </c>
      <c r="F116" s="30">
        <f>130+200</f>
        <v>330</v>
      </c>
    </row>
    <row r="117" spans="1:6" ht="15" customHeight="1" x14ac:dyDescent="0.2">
      <c r="A117" s="33"/>
      <c r="B117" s="33" t="s">
        <v>438</v>
      </c>
      <c r="C117" s="30">
        <f>SUM(D117:F117)</f>
        <v>695</v>
      </c>
      <c r="D117" s="30">
        <f>130+130</f>
        <v>260</v>
      </c>
      <c r="E117" s="30">
        <f>160+130+145</f>
        <v>435</v>
      </c>
      <c r="F117" s="30">
        <v>0</v>
      </c>
    </row>
    <row r="118" spans="1:6" ht="15" customHeight="1" x14ac:dyDescent="0.2">
      <c r="A118" s="33"/>
      <c r="B118" s="33" t="s">
        <v>413</v>
      </c>
      <c r="C118" s="30">
        <f>SUM(D118:F118)</f>
        <v>690</v>
      </c>
      <c r="D118" s="30">
        <f>130+130+300</f>
        <v>560</v>
      </c>
      <c r="E118" s="30">
        <f>130</f>
        <v>130</v>
      </c>
      <c r="F118" s="30">
        <v>0</v>
      </c>
    </row>
    <row r="119" spans="1:6" ht="15" customHeight="1" x14ac:dyDescent="0.2">
      <c r="A119" s="33"/>
      <c r="B119" s="33" t="s">
        <v>524</v>
      </c>
      <c r="C119" s="30">
        <f>SUM(D119:F119)</f>
        <v>685</v>
      </c>
      <c r="D119" s="30">
        <v>0</v>
      </c>
      <c r="E119" s="30">
        <f>325+200</f>
        <v>525</v>
      </c>
      <c r="F119" s="30">
        <f>160</f>
        <v>160</v>
      </c>
    </row>
    <row r="120" spans="1:6" ht="15" customHeight="1" x14ac:dyDescent="0.2">
      <c r="A120" s="33"/>
      <c r="B120" s="33" t="s">
        <v>451</v>
      </c>
      <c r="C120" s="30">
        <f>SUM(D120:F120)</f>
        <v>675</v>
      </c>
      <c r="D120" s="30">
        <f>475</f>
        <v>475</v>
      </c>
      <c r="E120" s="30">
        <f>200</f>
        <v>200</v>
      </c>
      <c r="F120" s="30">
        <v>0</v>
      </c>
    </row>
    <row r="121" spans="1:6" ht="15" customHeight="1" x14ac:dyDescent="0.2">
      <c r="A121" s="33"/>
      <c r="B121" s="33" t="s">
        <v>395</v>
      </c>
      <c r="C121" s="30">
        <f>SUM(D121:F121)</f>
        <v>675</v>
      </c>
      <c r="D121" s="30">
        <f>300</f>
        <v>300</v>
      </c>
      <c r="E121" s="30">
        <f>375</f>
        <v>375</v>
      </c>
      <c r="F121" s="30">
        <v>0</v>
      </c>
    </row>
    <row r="122" spans="1:6" ht="15" customHeight="1" x14ac:dyDescent="0.2">
      <c r="A122" s="33"/>
      <c r="B122" s="33" t="s">
        <v>502</v>
      </c>
      <c r="C122" s="30">
        <f>SUM(D122:F122)</f>
        <v>650</v>
      </c>
      <c r="D122" s="30">
        <v>0</v>
      </c>
      <c r="E122" s="30">
        <f>475</f>
        <v>475</v>
      </c>
      <c r="F122" s="30">
        <f>175</f>
        <v>175</v>
      </c>
    </row>
    <row r="123" spans="1:6" ht="15" customHeight="1" x14ac:dyDescent="0.2">
      <c r="A123" s="33"/>
      <c r="B123" s="33" t="s">
        <v>513</v>
      </c>
      <c r="C123" s="30">
        <f>SUM(D123:F123)</f>
        <v>610</v>
      </c>
      <c r="D123" s="30">
        <v>0</v>
      </c>
      <c r="E123" s="30">
        <f>175+175+130</f>
        <v>480</v>
      </c>
      <c r="F123" s="30">
        <f>130</f>
        <v>130</v>
      </c>
    </row>
    <row r="124" spans="1:6" ht="15" customHeight="1" x14ac:dyDescent="0.2">
      <c r="A124" s="33"/>
      <c r="B124" s="33" t="s">
        <v>406</v>
      </c>
      <c r="C124" s="30">
        <f>SUM(D124:F124)</f>
        <v>600</v>
      </c>
      <c r="D124" s="30">
        <f>225+375</f>
        <v>600</v>
      </c>
      <c r="E124" s="30">
        <v>0</v>
      </c>
      <c r="F124" s="30">
        <v>0</v>
      </c>
    </row>
    <row r="125" spans="1:6" ht="15" customHeight="1" x14ac:dyDescent="0.2">
      <c r="A125" s="33"/>
      <c r="B125" s="33" t="s">
        <v>341</v>
      </c>
      <c r="C125" s="30">
        <f>SUM(D125:F125)</f>
        <v>600</v>
      </c>
      <c r="D125" s="30">
        <f>225</f>
        <v>225</v>
      </c>
      <c r="E125" s="30">
        <f>375</f>
        <v>375</v>
      </c>
      <c r="F125" s="30">
        <v>0</v>
      </c>
    </row>
    <row r="126" spans="1:6" ht="15" customHeight="1" x14ac:dyDescent="0.2">
      <c r="A126" s="33"/>
      <c r="B126" s="33" t="s">
        <v>203</v>
      </c>
      <c r="C126" s="30">
        <f>SUM(D126:F126)</f>
        <v>590</v>
      </c>
      <c r="D126" s="30">
        <f>115+475</f>
        <v>590</v>
      </c>
      <c r="E126" s="30">
        <v>0</v>
      </c>
      <c r="F126" s="30">
        <v>0</v>
      </c>
    </row>
    <row r="127" spans="1:6" ht="15" customHeight="1" x14ac:dyDescent="0.2">
      <c r="A127" s="33"/>
      <c r="B127" s="33" t="s">
        <v>382</v>
      </c>
      <c r="C127" s="30">
        <f>SUM(D127:F127)</f>
        <v>585</v>
      </c>
      <c r="D127" s="30">
        <f>250</f>
        <v>250</v>
      </c>
      <c r="E127" s="30">
        <f>160</f>
        <v>160</v>
      </c>
      <c r="F127" s="30">
        <f>175</f>
        <v>175</v>
      </c>
    </row>
    <row r="128" spans="1:6" ht="15" customHeight="1" x14ac:dyDescent="0.2">
      <c r="A128" s="33"/>
      <c r="B128" s="33" t="s">
        <v>399</v>
      </c>
      <c r="C128" s="30">
        <f>SUM(D128:F128)</f>
        <v>575</v>
      </c>
      <c r="D128" s="30">
        <f>575</f>
        <v>575</v>
      </c>
      <c r="E128" s="30">
        <v>0</v>
      </c>
      <c r="F128" s="30">
        <v>0</v>
      </c>
    </row>
    <row r="129" spans="1:6" ht="15" customHeight="1" x14ac:dyDescent="0.2">
      <c r="A129" s="33"/>
      <c r="B129" s="33" t="s">
        <v>461</v>
      </c>
      <c r="C129" s="30">
        <f>SUM(D129:F129)</f>
        <v>575</v>
      </c>
      <c r="D129" s="30">
        <f>575</f>
        <v>575</v>
      </c>
      <c r="E129" s="30">
        <v>0</v>
      </c>
      <c r="F129" s="30">
        <v>0</v>
      </c>
    </row>
    <row r="130" spans="1:6" ht="15" customHeight="1" x14ac:dyDescent="0.2">
      <c r="A130" s="33"/>
      <c r="B130" s="33" t="s">
        <v>196</v>
      </c>
      <c r="C130" s="30">
        <f>SUM(D130:F130)</f>
        <v>575</v>
      </c>
      <c r="D130" s="30">
        <f>250+325</f>
        <v>575</v>
      </c>
      <c r="E130" s="30">
        <v>0</v>
      </c>
      <c r="F130" s="30">
        <v>0</v>
      </c>
    </row>
    <row r="131" spans="1:6" ht="15" customHeight="1" x14ac:dyDescent="0.2">
      <c r="A131" s="33"/>
      <c r="B131" s="33" t="s">
        <v>456</v>
      </c>
      <c r="C131" s="30">
        <f>SUM(D131:F131)</f>
        <v>575</v>
      </c>
      <c r="D131" s="30">
        <f>575</f>
        <v>575</v>
      </c>
      <c r="E131" s="30">
        <v>0</v>
      </c>
      <c r="F131" s="30">
        <v>0</v>
      </c>
    </row>
    <row r="132" spans="1:6" ht="15" customHeight="1" x14ac:dyDescent="0.2">
      <c r="A132" s="33"/>
      <c r="B132" s="33" t="s">
        <v>417</v>
      </c>
      <c r="C132" s="30">
        <f>SUM(D132:F132)</f>
        <v>575</v>
      </c>
      <c r="D132" s="30">
        <f>145+300</f>
        <v>445</v>
      </c>
      <c r="E132" s="30">
        <v>0</v>
      </c>
      <c r="F132" s="30">
        <f>130</f>
        <v>130</v>
      </c>
    </row>
    <row r="133" spans="1:6" ht="15" customHeight="1" x14ac:dyDescent="0.2">
      <c r="A133" s="33"/>
      <c r="B133" s="33" t="s">
        <v>389</v>
      </c>
      <c r="C133" s="30">
        <f>SUM(D133:F133)</f>
        <v>575</v>
      </c>
      <c r="D133" s="30">
        <f>575</f>
        <v>575</v>
      </c>
      <c r="E133" s="30">
        <v>0</v>
      </c>
      <c r="F133" s="30">
        <v>0</v>
      </c>
    </row>
    <row r="134" spans="1:6" ht="15" customHeight="1" x14ac:dyDescent="0.2">
      <c r="A134" s="33"/>
      <c r="B134" s="33" t="s">
        <v>455</v>
      </c>
      <c r="C134" s="30">
        <f>SUM(D134:F134)</f>
        <v>575</v>
      </c>
      <c r="D134" s="30">
        <v>115</v>
      </c>
      <c r="E134" s="30">
        <f>160+300</f>
        <v>460</v>
      </c>
      <c r="F134" s="30">
        <v>0</v>
      </c>
    </row>
    <row r="135" spans="1:6" ht="15" customHeight="1" x14ac:dyDescent="0.2">
      <c r="A135" s="33"/>
      <c r="B135" s="33" t="s">
        <v>471</v>
      </c>
      <c r="C135" s="30">
        <f>SUM(D135:F135)</f>
        <v>570</v>
      </c>
      <c r="D135" s="30">
        <f>145</f>
        <v>145</v>
      </c>
      <c r="E135" s="30">
        <f>225+200</f>
        <v>425</v>
      </c>
      <c r="F135" s="30">
        <v>0</v>
      </c>
    </row>
    <row r="136" spans="1:6" ht="15" customHeight="1" x14ac:dyDescent="0.2">
      <c r="A136" s="33"/>
      <c r="B136" s="33" t="s">
        <v>463</v>
      </c>
      <c r="C136" s="30">
        <f>SUM(D136:F136)</f>
        <v>565</v>
      </c>
      <c r="D136" s="30">
        <f>115</f>
        <v>115</v>
      </c>
      <c r="E136" s="30">
        <f>200+250</f>
        <v>450</v>
      </c>
      <c r="F136" s="30">
        <v>0</v>
      </c>
    </row>
    <row r="137" spans="1:6" ht="15" customHeight="1" x14ac:dyDescent="0.2">
      <c r="A137" s="33"/>
      <c r="B137" s="33" t="s">
        <v>401</v>
      </c>
      <c r="C137" s="30">
        <f>SUM(D137:F137)</f>
        <v>550</v>
      </c>
      <c r="D137" s="30">
        <f>350</f>
        <v>350</v>
      </c>
      <c r="E137" s="30">
        <f>200</f>
        <v>200</v>
      </c>
      <c r="F137" s="30">
        <v>0</v>
      </c>
    </row>
    <row r="138" spans="1:6" ht="15" customHeight="1" x14ac:dyDescent="0.2">
      <c r="A138" s="33"/>
      <c r="B138" s="33" t="s">
        <v>470</v>
      </c>
      <c r="C138" s="30">
        <f>SUM(D138:F138)</f>
        <v>510</v>
      </c>
      <c r="D138" s="30">
        <f>350</f>
        <v>350</v>
      </c>
      <c r="E138" s="30">
        <f>160</f>
        <v>160</v>
      </c>
      <c r="F138" s="30">
        <v>0</v>
      </c>
    </row>
    <row r="139" spans="1:6" ht="15" customHeight="1" x14ac:dyDescent="0.2">
      <c r="A139" s="33"/>
      <c r="B139" s="33" t="s">
        <v>433</v>
      </c>
      <c r="C139" s="30">
        <f>SUM(D139:F139)</f>
        <v>500</v>
      </c>
      <c r="D139" s="30">
        <v>300</v>
      </c>
      <c r="E139" s="30">
        <f>200</f>
        <v>200</v>
      </c>
      <c r="F139" s="30">
        <v>0</v>
      </c>
    </row>
    <row r="140" spans="1:6" ht="15" customHeight="1" x14ac:dyDescent="0.2">
      <c r="A140" s="33"/>
      <c r="B140" s="33" t="s">
        <v>359</v>
      </c>
      <c r="C140" s="30">
        <f>SUM(D140:F140)</f>
        <v>495</v>
      </c>
      <c r="D140" s="30">
        <f>115+130</f>
        <v>245</v>
      </c>
      <c r="E140" s="30">
        <f>250</f>
        <v>250</v>
      </c>
      <c r="F140" s="30">
        <v>0</v>
      </c>
    </row>
    <row r="141" spans="1:6" ht="15" customHeight="1" x14ac:dyDescent="0.2">
      <c r="A141" s="33"/>
      <c r="B141" s="33" t="s">
        <v>404</v>
      </c>
      <c r="C141" s="30">
        <f>SUM(D141:F141)</f>
        <v>475</v>
      </c>
      <c r="D141" s="30">
        <f>475</f>
        <v>475</v>
      </c>
      <c r="E141" s="30">
        <v>0</v>
      </c>
      <c r="F141" s="30">
        <v>0</v>
      </c>
    </row>
    <row r="142" spans="1:6" ht="15" customHeight="1" x14ac:dyDescent="0.2">
      <c r="A142" s="33"/>
      <c r="B142" s="33" t="s">
        <v>442</v>
      </c>
      <c r="C142" s="30">
        <f>SUM(D142:F142)</f>
        <v>475</v>
      </c>
      <c r="D142" s="30">
        <f>475</f>
        <v>475</v>
      </c>
      <c r="E142" s="30">
        <v>0</v>
      </c>
      <c r="F142" s="30">
        <v>0</v>
      </c>
    </row>
    <row r="143" spans="1:6" ht="15" customHeight="1" x14ac:dyDescent="0.2">
      <c r="A143" s="33"/>
      <c r="B143" s="33" t="s">
        <v>474</v>
      </c>
      <c r="C143" s="30">
        <f>SUM(D143:F143)</f>
        <v>475</v>
      </c>
      <c r="D143" s="30">
        <f>175</f>
        <v>175</v>
      </c>
      <c r="E143" s="30">
        <f>300</f>
        <v>300</v>
      </c>
      <c r="F143" s="30">
        <v>0</v>
      </c>
    </row>
    <row r="144" spans="1:6" ht="15" customHeight="1" x14ac:dyDescent="0.2">
      <c r="A144" s="33"/>
      <c r="B144" s="33" t="s">
        <v>553</v>
      </c>
      <c r="C144" s="30">
        <f>SUM(D144:F144)</f>
        <v>475</v>
      </c>
      <c r="D144" s="30">
        <v>0</v>
      </c>
      <c r="E144" s="30"/>
      <c r="F144" s="30">
        <f>475</f>
        <v>475</v>
      </c>
    </row>
    <row r="145" spans="1:6" ht="15" customHeight="1" x14ac:dyDescent="0.2">
      <c r="A145" s="33"/>
      <c r="B145" s="33" t="s">
        <v>490</v>
      </c>
      <c r="C145" s="30">
        <f>SUM(D145:F145)</f>
        <v>475</v>
      </c>
      <c r="D145" s="30">
        <v>0</v>
      </c>
      <c r="E145" s="30">
        <f>175+300</f>
        <v>475</v>
      </c>
      <c r="F145" s="30">
        <v>0</v>
      </c>
    </row>
    <row r="146" spans="1:6" ht="15" customHeight="1" x14ac:dyDescent="0.2">
      <c r="A146" s="33"/>
      <c r="B146" s="33" t="s">
        <v>373</v>
      </c>
      <c r="C146" s="30">
        <f>SUM(D146:F146)</f>
        <v>475</v>
      </c>
      <c r="D146" s="30">
        <f>475</f>
        <v>475</v>
      </c>
      <c r="E146" s="30">
        <v>0</v>
      </c>
      <c r="F146" s="30">
        <v>0</v>
      </c>
    </row>
    <row r="147" spans="1:6" ht="15" customHeight="1" x14ac:dyDescent="0.2">
      <c r="A147" s="33"/>
      <c r="B147" s="33" t="s">
        <v>557</v>
      </c>
      <c r="C147" s="30">
        <f>SUM(D147:F147)</f>
        <v>475</v>
      </c>
      <c r="D147" s="30">
        <v>0</v>
      </c>
      <c r="E147" s="30">
        <v>0</v>
      </c>
      <c r="F147" s="30">
        <f>475</f>
        <v>475</v>
      </c>
    </row>
    <row r="148" spans="1:6" ht="15" customHeight="1" x14ac:dyDescent="0.2">
      <c r="A148" s="33"/>
      <c r="B148" s="33" t="s">
        <v>559</v>
      </c>
      <c r="C148" s="30">
        <f>SUM(D148:F148)</f>
        <v>475</v>
      </c>
      <c r="D148" s="30">
        <v>0</v>
      </c>
      <c r="E148" s="30">
        <v>0</v>
      </c>
      <c r="F148" s="30">
        <f>475</f>
        <v>475</v>
      </c>
    </row>
    <row r="149" spans="1:6" ht="15" customHeight="1" x14ac:dyDescent="0.2">
      <c r="A149" s="33"/>
      <c r="B149" s="33" t="s">
        <v>376</v>
      </c>
      <c r="C149" s="30">
        <f>SUM(D149:F149)</f>
        <v>475</v>
      </c>
      <c r="D149" s="30">
        <f>475</f>
        <v>475</v>
      </c>
      <c r="E149" s="30">
        <v>0</v>
      </c>
      <c r="F149" s="30">
        <v>0</v>
      </c>
    </row>
    <row r="150" spans="1:6" ht="15" customHeight="1" x14ac:dyDescent="0.2">
      <c r="A150" s="33"/>
      <c r="B150" s="33" t="s">
        <v>509</v>
      </c>
      <c r="C150" s="30">
        <f>SUM(D150:F150)</f>
        <v>475</v>
      </c>
      <c r="D150" s="30">
        <v>0</v>
      </c>
      <c r="E150" s="30">
        <f>475</f>
        <v>475</v>
      </c>
      <c r="F150" s="30">
        <v>0</v>
      </c>
    </row>
    <row r="151" spans="1:6" ht="15" customHeight="1" x14ac:dyDescent="0.2">
      <c r="A151" s="33"/>
      <c r="B151" s="33" t="s">
        <v>419</v>
      </c>
      <c r="C151" s="30">
        <f>SUM(D151:F151)</f>
        <v>470</v>
      </c>
      <c r="D151" s="30">
        <f>145</f>
        <v>145</v>
      </c>
      <c r="E151" s="30">
        <f>325</f>
        <v>325</v>
      </c>
      <c r="F151" s="30">
        <v>0</v>
      </c>
    </row>
    <row r="152" spans="1:6" ht="15" customHeight="1" x14ac:dyDescent="0.2">
      <c r="A152" s="33"/>
      <c r="B152" s="33" t="s">
        <v>462</v>
      </c>
      <c r="C152" s="30">
        <f>SUM(D152:F152)</f>
        <v>455</v>
      </c>
      <c r="D152" s="30">
        <f>325+130</f>
        <v>455</v>
      </c>
      <c r="E152" s="30">
        <v>0</v>
      </c>
      <c r="F152" s="30">
        <v>0</v>
      </c>
    </row>
    <row r="153" spans="1:6" ht="15" customHeight="1" x14ac:dyDescent="0.2">
      <c r="A153" s="33"/>
      <c r="B153" s="33" t="s">
        <v>531</v>
      </c>
      <c r="C153" s="30">
        <f>SUM(D153:F153)</f>
        <v>450</v>
      </c>
      <c r="D153" s="30">
        <v>0</v>
      </c>
      <c r="E153" s="30">
        <f>175</f>
        <v>175</v>
      </c>
      <c r="F153" s="30">
        <f>275</f>
        <v>275</v>
      </c>
    </row>
    <row r="154" spans="1:6" ht="15" customHeight="1" x14ac:dyDescent="0.2">
      <c r="A154" s="33"/>
      <c r="B154" s="33" t="s">
        <v>391</v>
      </c>
      <c r="C154" s="30">
        <f>SUM(D154:F154)</f>
        <v>425</v>
      </c>
      <c r="D154" s="30">
        <f>425</f>
        <v>425</v>
      </c>
      <c r="E154" s="30">
        <v>0</v>
      </c>
      <c r="F154" s="30">
        <v>0</v>
      </c>
    </row>
    <row r="155" spans="1:6" ht="15" customHeight="1" x14ac:dyDescent="0.2">
      <c r="A155" s="33"/>
      <c r="B155" s="33" t="s">
        <v>239</v>
      </c>
      <c r="C155" s="30">
        <f>SUM(D155:F155)</f>
        <v>425</v>
      </c>
      <c r="D155" s="30">
        <f>200+225</f>
        <v>425</v>
      </c>
      <c r="E155" s="30">
        <v>0</v>
      </c>
      <c r="F155" s="30">
        <v>0</v>
      </c>
    </row>
    <row r="156" spans="1:6" ht="15" customHeight="1" x14ac:dyDescent="0.2">
      <c r="A156" s="33"/>
      <c r="B156" s="33" t="s">
        <v>452</v>
      </c>
      <c r="C156" s="30">
        <f>SUM(D156:F156)</f>
        <v>425</v>
      </c>
      <c r="D156" s="30">
        <f>425</f>
        <v>425</v>
      </c>
      <c r="E156" s="30">
        <v>0</v>
      </c>
      <c r="F156" s="30">
        <v>0</v>
      </c>
    </row>
    <row r="157" spans="1:6" ht="15" customHeight="1" x14ac:dyDescent="0.2">
      <c r="A157" s="33"/>
      <c r="B157" s="33" t="s">
        <v>453</v>
      </c>
      <c r="C157" s="30">
        <f>SUM(D157:F157)</f>
        <v>425</v>
      </c>
      <c r="D157" s="30">
        <f>250</f>
        <v>250</v>
      </c>
      <c r="E157" s="30">
        <f>175</f>
        <v>175</v>
      </c>
      <c r="F157" s="30">
        <v>0</v>
      </c>
    </row>
    <row r="158" spans="1:6" ht="15" customHeight="1" x14ac:dyDescent="0.2">
      <c r="A158" s="33"/>
      <c r="B158" s="33" t="s">
        <v>472</v>
      </c>
      <c r="C158" s="30">
        <f>SUM(D158:F158)</f>
        <v>420</v>
      </c>
      <c r="D158" s="30">
        <f>145</f>
        <v>145</v>
      </c>
      <c r="E158" s="30">
        <f>275</f>
        <v>275</v>
      </c>
      <c r="F158" s="30">
        <v>0</v>
      </c>
    </row>
    <row r="159" spans="1:6" ht="15" customHeight="1" x14ac:dyDescent="0.2">
      <c r="A159" s="33"/>
      <c r="B159" s="33" t="s">
        <v>529</v>
      </c>
      <c r="C159" s="30">
        <f>SUM(D159:F159)</f>
        <v>415</v>
      </c>
      <c r="D159" s="30">
        <f>300</f>
        <v>300</v>
      </c>
      <c r="E159" s="30">
        <f>115</f>
        <v>115</v>
      </c>
      <c r="F159" s="30">
        <v>0</v>
      </c>
    </row>
    <row r="160" spans="1:6" ht="15" customHeight="1" x14ac:dyDescent="0.2">
      <c r="A160" s="33"/>
      <c r="B160" s="33" t="s">
        <v>337</v>
      </c>
      <c r="C160" s="30">
        <f>SUM(D160:F160)</f>
        <v>400</v>
      </c>
      <c r="D160" s="30">
        <f>200</f>
        <v>200</v>
      </c>
      <c r="E160" s="30">
        <f>200</f>
        <v>200</v>
      </c>
      <c r="F160" s="30">
        <v>0</v>
      </c>
    </row>
    <row r="161" spans="1:6" ht="15" customHeight="1" x14ac:dyDescent="0.2">
      <c r="A161" s="33"/>
      <c r="B161" s="33" t="s">
        <v>440</v>
      </c>
      <c r="C161" s="30">
        <f>SUM(D161:F161)</f>
        <v>375</v>
      </c>
      <c r="D161" s="30">
        <v>375</v>
      </c>
      <c r="E161" s="30">
        <v>0</v>
      </c>
      <c r="F161" s="30">
        <v>0</v>
      </c>
    </row>
    <row r="162" spans="1:6" ht="15" customHeight="1" x14ac:dyDescent="0.2">
      <c r="A162" s="33"/>
      <c r="B162" s="33" t="s">
        <v>554</v>
      </c>
      <c r="C162" s="30">
        <f>SUM(D162:F162)</f>
        <v>375</v>
      </c>
      <c r="D162" s="30">
        <v>0</v>
      </c>
      <c r="E162" s="30">
        <v>0</v>
      </c>
      <c r="F162" s="30">
        <f>375</f>
        <v>375</v>
      </c>
    </row>
    <row r="163" spans="1:6" ht="15" customHeight="1" x14ac:dyDescent="0.2">
      <c r="A163" s="33"/>
      <c r="B163" s="33" t="s">
        <v>425</v>
      </c>
      <c r="C163" s="30">
        <f>SUM(D163:F163)</f>
        <v>375</v>
      </c>
      <c r="D163" s="30">
        <f>375</f>
        <v>375</v>
      </c>
      <c r="E163" s="30">
        <v>0</v>
      </c>
      <c r="F163" s="30">
        <v>0</v>
      </c>
    </row>
    <row r="164" spans="1:6" ht="15" customHeight="1" x14ac:dyDescent="0.2">
      <c r="A164" s="33"/>
      <c r="B164" s="33" t="s">
        <v>481</v>
      </c>
      <c r="C164" s="30">
        <f>SUM(D164:F164)</f>
        <v>375</v>
      </c>
      <c r="D164" s="30">
        <f>375</f>
        <v>375</v>
      </c>
      <c r="E164" s="30">
        <v>0</v>
      </c>
      <c r="F164" s="30">
        <v>0</v>
      </c>
    </row>
    <row r="165" spans="1:6" ht="15" customHeight="1" x14ac:dyDescent="0.2">
      <c r="A165" s="33"/>
      <c r="B165" s="33" t="s">
        <v>478</v>
      </c>
      <c r="C165" s="30">
        <f>SUM(D165:F165)</f>
        <v>365</v>
      </c>
      <c r="D165" s="30">
        <f>250</f>
        <v>250</v>
      </c>
      <c r="E165" s="30">
        <f>115</f>
        <v>115</v>
      </c>
      <c r="F165" s="30">
        <v>0</v>
      </c>
    </row>
    <row r="166" spans="1:6" ht="15" customHeight="1" x14ac:dyDescent="0.2">
      <c r="A166" s="33"/>
      <c r="B166" s="33" t="s">
        <v>237</v>
      </c>
      <c r="C166" s="30">
        <f>SUM(D166:F166)</f>
        <v>350</v>
      </c>
      <c r="D166" s="30">
        <f>350</f>
        <v>350</v>
      </c>
      <c r="E166" s="30">
        <v>0</v>
      </c>
      <c r="F166" s="30">
        <v>0</v>
      </c>
    </row>
    <row r="167" spans="1:6" ht="15" customHeight="1" x14ac:dyDescent="0.2">
      <c r="A167" s="33"/>
      <c r="B167" s="33" t="s">
        <v>429</v>
      </c>
      <c r="C167" s="30">
        <f>SUM(D167:F167)</f>
        <v>350</v>
      </c>
      <c r="D167" s="30">
        <v>350</v>
      </c>
      <c r="E167" s="30">
        <v>0</v>
      </c>
      <c r="F167" s="30">
        <v>0</v>
      </c>
    </row>
    <row r="168" spans="1:6" ht="15" customHeight="1" x14ac:dyDescent="0.2">
      <c r="A168" s="33"/>
      <c r="B168" s="33" t="s">
        <v>266</v>
      </c>
      <c r="C168" s="30">
        <f>SUM(D168:F168)</f>
        <v>350</v>
      </c>
      <c r="D168" s="30">
        <v>0</v>
      </c>
      <c r="E168" s="30">
        <f>350</f>
        <v>350</v>
      </c>
      <c r="F168" s="30">
        <v>0</v>
      </c>
    </row>
    <row r="169" spans="1:6" ht="15" customHeight="1" x14ac:dyDescent="0.2">
      <c r="A169" s="33"/>
      <c r="B169" s="33" t="s">
        <v>545</v>
      </c>
      <c r="C169" s="30">
        <f>SUM(D169:F169)</f>
        <v>350</v>
      </c>
      <c r="D169" s="30">
        <v>0</v>
      </c>
      <c r="E169" s="30">
        <f>350</f>
        <v>350</v>
      </c>
      <c r="F169" s="30">
        <v>0</v>
      </c>
    </row>
    <row r="170" spans="1:6" ht="15" customHeight="1" x14ac:dyDescent="0.2">
      <c r="A170" s="33"/>
      <c r="B170" s="33" t="s">
        <v>393</v>
      </c>
      <c r="C170" s="30">
        <f>SUM(D170:F170)</f>
        <v>350</v>
      </c>
      <c r="D170" s="30">
        <f>350</f>
        <v>350</v>
      </c>
      <c r="E170" s="30">
        <v>0</v>
      </c>
      <c r="F170" s="30">
        <v>0</v>
      </c>
    </row>
    <row r="171" spans="1:6" ht="15" customHeight="1" x14ac:dyDescent="0.2">
      <c r="A171" s="33"/>
      <c r="B171" s="33" t="s">
        <v>72</v>
      </c>
      <c r="C171" s="30">
        <f>SUM(D171:F171)</f>
        <v>335</v>
      </c>
      <c r="D171" s="30">
        <v>175</v>
      </c>
      <c r="E171" s="30">
        <v>0</v>
      </c>
      <c r="F171" s="30">
        <f>160</f>
        <v>160</v>
      </c>
    </row>
    <row r="172" spans="1:6" ht="15" customHeight="1" x14ac:dyDescent="0.2">
      <c r="A172" s="33"/>
      <c r="B172" s="33" t="s">
        <v>394</v>
      </c>
      <c r="C172" s="30">
        <f>SUM(D172:F172)</f>
        <v>325</v>
      </c>
      <c r="D172" s="30">
        <f>325</f>
        <v>325</v>
      </c>
      <c r="E172" s="30">
        <v>0</v>
      </c>
      <c r="F172" s="30">
        <v>0</v>
      </c>
    </row>
    <row r="173" spans="1:6" ht="15" customHeight="1" x14ac:dyDescent="0.2">
      <c r="A173" s="33"/>
      <c r="B173" s="33" t="s">
        <v>533</v>
      </c>
      <c r="C173" s="30">
        <f>SUM(D173:F173)</f>
        <v>325</v>
      </c>
      <c r="D173" s="30">
        <v>0</v>
      </c>
      <c r="E173" s="30">
        <f>325</f>
        <v>325</v>
      </c>
      <c r="F173" s="30">
        <v>0</v>
      </c>
    </row>
    <row r="174" spans="1:6" ht="15" customHeight="1" x14ac:dyDescent="0.2">
      <c r="A174" s="33"/>
      <c r="B174" s="33" t="s">
        <v>518</v>
      </c>
      <c r="C174" s="30">
        <f>SUM(D174:F174)</f>
        <v>325</v>
      </c>
      <c r="D174" s="30">
        <v>0</v>
      </c>
      <c r="E174" s="30">
        <f>325</f>
        <v>325</v>
      </c>
      <c r="F174" s="30">
        <v>0</v>
      </c>
    </row>
    <row r="175" spans="1:6" ht="15" customHeight="1" x14ac:dyDescent="0.2">
      <c r="A175" s="33"/>
      <c r="B175" s="33" t="s">
        <v>444</v>
      </c>
      <c r="C175" s="30">
        <f>SUM(D175:F175)</f>
        <v>325</v>
      </c>
      <c r="D175" s="30">
        <f>325</f>
        <v>325</v>
      </c>
      <c r="E175" s="30">
        <v>0</v>
      </c>
      <c r="F175" s="30">
        <v>0</v>
      </c>
    </row>
    <row r="176" spans="1:6" ht="15" customHeight="1" x14ac:dyDescent="0.2">
      <c r="A176" s="33"/>
      <c r="B176" s="33" t="s">
        <v>484</v>
      </c>
      <c r="C176" s="30">
        <f>SUM(D176:F176)</f>
        <v>320</v>
      </c>
      <c r="D176" s="30">
        <v>0</v>
      </c>
      <c r="E176" s="30">
        <f>175+145</f>
        <v>320</v>
      </c>
      <c r="F176" s="30">
        <v>0</v>
      </c>
    </row>
    <row r="177" spans="1:6" ht="15" customHeight="1" x14ac:dyDescent="0.2">
      <c r="A177" s="33"/>
      <c r="B177" s="33" t="s">
        <v>342</v>
      </c>
      <c r="C177" s="30">
        <f>SUM(D177:F177)</f>
        <v>315</v>
      </c>
      <c r="D177" s="30">
        <f>200</f>
        <v>200</v>
      </c>
      <c r="E177" s="30">
        <f>115</f>
        <v>115</v>
      </c>
      <c r="F177" s="30">
        <v>0</v>
      </c>
    </row>
    <row r="178" spans="1:6" ht="15" customHeight="1" x14ac:dyDescent="0.2">
      <c r="A178" s="33"/>
      <c r="B178" s="33" t="s">
        <v>499</v>
      </c>
      <c r="C178" s="30">
        <f>SUM(D178:F178)</f>
        <v>305</v>
      </c>
      <c r="D178" s="30">
        <v>0</v>
      </c>
      <c r="E178" s="30">
        <f>175+130</f>
        <v>305</v>
      </c>
      <c r="F178" s="30">
        <v>0</v>
      </c>
    </row>
    <row r="179" spans="1:6" ht="15" customHeight="1" x14ac:dyDescent="0.2">
      <c r="A179" s="33"/>
      <c r="B179" s="33" t="s">
        <v>496</v>
      </c>
      <c r="C179" s="30">
        <f>SUM(D179:F179)</f>
        <v>300</v>
      </c>
      <c r="D179" s="30">
        <v>0</v>
      </c>
      <c r="E179" s="30">
        <f>300</f>
        <v>300</v>
      </c>
      <c r="F179" s="30">
        <v>0</v>
      </c>
    </row>
    <row r="180" spans="1:6" ht="15" customHeight="1" x14ac:dyDescent="0.2">
      <c r="A180" s="33"/>
      <c r="B180" s="33" t="s">
        <v>493</v>
      </c>
      <c r="C180" s="30">
        <f>SUM(D180:F180)</f>
        <v>300</v>
      </c>
      <c r="D180" s="30">
        <v>0</v>
      </c>
      <c r="E180" s="30">
        <f>300</f>
        <v>300</v>
      </c>
      <c r="F180" s="30">
        <v>0</v>
      </c>
    </row>
    <row r="181" spans="1:6" ht="15" customHeight="1" x14ac:dyDescent="0.2">
      <c r="A181" s="33"/>
      <c r="B181" s="33" t="s">
        <v>467</v>
      </c>
      <c r="C181" s="30">
        <f>SUM(D181:F181)</f>
        <v>300</v>
      </c>
      <c r="D181" s="30">
        <f>300</f>
        <v>300</v>
      </c>
      <c r="E181" s="30">
        <v>0</v>
      </c>
      <c r="F181" s="30">
        <v>0</v>
      </c>
    </row>
    <row r="182" spans="1:6" ht="15" customHeight="1" x14ac:dyDescent="0.2">
      <c r="A182" s="33"/>
      <c r="B182" s="33" t="s">
        <v>408</v>
      </c>
      <c r="C182" s="30">
        <f>SUM(D182:F182)</f>
        <v>290</v>
      </c>
      <c r="D182" s="30">
        <f>160+130</f>
        <v>290</v>
      </c>
      <c r="E182" s="30">
        <v>0</v>
      </c>
      <c r="F182" s="30">
        <v>0</v>
      </c>
    </row>
    <row r="183" spans="1:6" ht="15" customHeight="1" x14ac:dyDescent="0.2">
      <c r="A183" s="33"/>
      <c r="B183" s="33" t="s">
        <v>245</v>
      </c>
      <c r="C183" s="30">
        <f>SUM(D183:F183)</f>
        <v>275</v>
      </c>
      <c r="D183" s="30">
        <v>0</v>
      </c>
      <c r="E183" s="30">
        <f>275</f>
        <v>275</v>
      </c>
      <c r="F183" s="30">
        <v>0</v>
      </c>
    </row>
    <row r="184" spans="1:6" ht="15" customHeight="1" x14ac:dyDescent="0.2">
      <c r="A184" s="33"/>
      <c r="B184" s="33" t="s">
        <v>468</v>
      </c>
      <c r="C184" s="30">
        <f>SUM(D184:F184)</f>
        <v>275</v>
      </c>
      <c r="D184" s="30">
        <f>275</f>
        <v>275</v>
      </c>
      <c r="E184" s="30">
        <v>0</v>
      </c>
      <c r="F184" s="30">
        <v>0</v>
      </c>
    </row>
    <row r="185" spans="1:6" ht="15" customHeight="1" x14ac:dyDescent="0.2">
      <c r="A185" s="33"/>
      <c r="B185" s="33" t="s">
        <v>520</v>
      </c>
      <c r="C185" s="30">
        <f>SUM(D185:F185)</f>
        <v>275</v>
      </c>
      <c r="D185" s="30">
        <v>0</v>
      </c>
      <c r="E185" s="30">
        <f>130+145</f>
        <v>275</v>
      </c>
      <c r="F185" s="30">
        <v>0</v>
      </c>
    </row>
    <row r="186" spans="1:6" ht="15" customHeight="1" x14ac:dyDescent="0.2">
      <c r="A186" s="33"/>
      <c r="B186" s="33" t="s">
        <v>418</v>
      </c>
      <c r="C186" s="30">
        <f>SUM(D186:F186)</f>
        <v>275</v>
      </c>
      <c r="D186" s="30">
        <f>275</f>
        <v>275</v>
      </c>
      <c r="E186" s="30">
        <v>0</v>
      </c>
      <c r="F186" s="30">
        <v>0</v>
      </c>
    </row>
    <row r="187" spans="1:6" ht="15" customHeight="1" x14ac:dyDescent="0.2">
      <c r="A187" s="33"/>
      <c r="B187" s="33" t="s">
        <v>362</v>
      </c>
      <c r="C187" s="30">
        <f>SUM(D187:F187)</f>
        <v>275</v>
      </c>
      <c r="D187" s="30">
        <f>275</f>
        <v>275</v>
      </c>
      <c r="E187" s="30">
        <v>0</v>
      </c>
      <c r="F187" s="30">
        <v>0</v>
      </c>
    </row>
    <row r="188" spans="1:6" ht="15" customHeight="1" x14ac:dyDescent="0.2">
      <c r="A188" s="33"/>
      <c r="B188" s="33" t="s">
        <v>431</v>
      </c>
      <c r="C188" s="30">
        <f>SUM(D188:F188)</f>
        <v>275</v>
      </c>
      <c r="D188" s="30">
        <v>275</v>
      </c>
      <c r="E188" s="30">
        <v>0</v>
      </c>
      <c r="F188" s="30">
        <v>0</v>
      </c>
    </row>
    <row r="189" spans="1:6" ht="15" customHeight="1" x14ac:dyDescent="0.2">
      <c r="A189" s="33"/>
      <c r="B189" s="33" t="s">
        <v>358</v>
      </c>
      <c r="C189" s="30">
        <f>SUM(D189:F189)</f>
        <v>275</v>
      </c>
      <c r="D189" s="30">
        <f>160+115</f>
        <v>275</v>
      </c>
      <c r="E189" s="30">
        <v>0</v>
      </c>
      <c r="F189" s="30">
        <v>0</v>
      </c>
    </row>
    <row r="190" spans="1:6" ht="15" customHeight="1" x14ac:dyDescent="0.2">
      <c r="A190" s="33"/>
      <c r="B190" s="33" t="s">
        <v>486</v>
      </c>
      <c r="C190" s="30">
        <f>SUM(D190:F190)</f>
        <v>275</v>
      </c>
      <c r="D190" s="30">
        <v>0</v>
      </c>
      <c r="E190" s="30">
        <f>130+145</f>
        <v>275</v>
      </c>
      <c r="F190" s="30">
        <v>0</v>
      </c>
    </row>
    <row r="191" spans="1:6" ht="15" customHeight="1" x14ac:dyDescent="0.2">
      <c r="A191" s="33"/>
      <c r="B191" s="33" t="s">
        <v>526</v>
      </c>
      <c r="C191" s="30">
        <f>SUM(D191:F191)</f>
        <v>275</v>
      </c>
      <c r="D191" s="30">
        <v>0</v>
      </c>
      <c r="E191" s="30">
        <f>275</f>
        <v>275</v>
      </c>
      <c r="F191" s="30">
        <v>0</v>
      </c>
    </row>
    <row r="192" spans="1:6" ht="15" customHeight="1" x14ac:dyDescent="0.2">
      <c r="A192" s="33"/>
      <c r="B192" s="33" t="s">
        <v>445</v>
      </c>
      <c r="C192" s="30">
        <f>SUM(D192:F192)</f>
        <v>275</v>
      </c>
      <c r="D192" s="30">
        <f>275</f>
        <v>275</v>
      </c>
      <c r="E192" s="30">
        <v>0</v>
      </c>
      <c r="F192" s="30">
        <v>0</v>
      </c>
    </row>
    <row r="193" spans="1:6" ht="15" customHeight="1" x14ac:dyDescent="0.2">
      <c r="A193" s="33"/>
      <c r="B193" s="33" t="s">
        <v>523</v>
      </c>
      <c r="C193" s="30">
        <f>SUM(D193:F193)</f>
        <v>260</v>
      </c>
      <c r="D193" s="30">
        <v>0</v>
      </c>
      <c r="E193" s="30">
        <f>130+130</f>
        <v>260</v>
      </c>
      <c r="F193" s="30">
        <v>0</v>
      </c>
    </row>
    <row r="194" spans="1:6" ht="15" customHeight="1" x14ac:dyDescent="0.2">
      <c r="A194" s="33"/>
      <c r="B194" s="33" t="s">
        <v>538</v>
      </c>
      <c r="C194" s="30">
        <f>SUM(D194:F194)</f>
        <v>250</v>
      </c>
      <c r="D194" s="30">
        <v>0</v>
      </c>
      <c r="E194" s="30">
        <f>250</f>
        <v>250</v>
      </c>
      <c r="F194" s="30">
        <v>0</v>
      </c>
    </row>
    <row r="195" spans="1:6" ht="15" customHeight="1" x14ac:dyDescent="0.2">
      <c r="A195" s="33"/>
      <c r="B195" s="33" t="s">
        <v>397</v>
      </c>
      <c r="C195" s="30">
        <f>SUM(D195:F195)</f>
        <v>250</v>
      </c>
      <c r="D195" s="30">
        <f>250</f>
        <v>250</v>
      </c>
      <c r="E195" s="30">
        <v>0</v>
      </c>
      <c r="F195" s="30">
        <v>0</v>
      </c>
    </row>
    <row r="196" spans="1:6" ht="15" customHeight="1" x14ac:dyDescent="0.2">
      <c r="A196" s="33"/>
      <c r="B196" s="33" t="s">
        <v>457</v>
      </c>
      <c r="C196" s="30">
        <f>SUM(D196:F196)</f>
        <v>250</v>
      </c>
      <c r="D196" s="30">
        <f>250</f>
        <v>250</v>
      </c>
      <c r="E196" s="30">
        <v>0</v>
      </c>
      <c r="F196" s="30">
        <v>0</v>
      </c>
    </row>
    <row r="197" spans="1:6" ht="15" customHeight="1" x14ac:dyDescent="0.2">
      <c r="A197" s="33"/>
      <c r="B197" s="33" t="s">
        <v>497</v>
      </c>
      <c r="C197" s="30">
        <f>SUM(D197:F197)</f>
        <v>250</v>
      </c>
      <c r="D197" s="30">
        <v>0</v>
      </c>
      <c r="E197" s="30">
        <f>250</f>
        <v>250</v>
      </c>
      <c r="F197" s="30">
        <v>0</v>
      </c>
    </row>
    <row r="198" spans="1:6" ht="15" customHeight="1" x14ac:dyDescent="0.2">
      <c r="A198" s="33"/>
      <c r="B198" s="33" t="s">
        <v>469</v>
      </c>
      <c r="C198" s="30">
        <f>SUM(D198:F198)</f>
        <v>250</v>
      </c>
      <c r="D198" s="30">
        <f>250</f>
        <v>250</v>
      </c>
      <c r="E198" s="30">
        <v>0</v>
      </c>
      <c r="F198" s="30">
        <v>0</v>
      </c>
    </row>
    <row r="199" spans="1:6" ht="15" customHeight="1" x14ac:dyDescent="0.2">
      <c r="A199" s="33"/>
      <c r="B199" s="33" t="s">
        <v>561</v>
      </c>
      <c r="C199" s="30">
        <f>SUM(D199:F199)</f>
        <v>250</v>
      </c>
      <c r="D199" s="30">
        <v>0</v>
      </c>
      <c r="E199" s="30">
        <v>0</v>
      </c>
      <c r="F199" s="30">
        <f>250</f>
        <v>250</v>
      </c>
    </row>
    <row r="200" spans="1:6" ht="15" customHeight="1" x14ac:dyDescent="0.2">
      <c r="A200" s="33"/>
      <c r="B200" s="33" t="s">
        <v>494</v>
      </c>
      <c r="C200" s="30">
        <f>SUM(D200:F200)</f>
        <v>250</v>
      </c>
      <c r="D200" s="30">
        <v>0</v>
      </c>
      <c r="E200" s="30">
        <f>250</f>
        <v>250</v>
      </c>
      <c r="F200" s="30">
        <v>0</v>
      </c>
    </row>
    <row r="201" spans="1:6" ht="15" customHeight="1" x14ac:dyDescent="0.2">
      <c r="A201" s="33"/>
      <c r="B201" s="33" t="s">
        <v>504</v>
      </c>
      <c r="C201" s="30">
        <f>SUM(D201:F201)</f>
        <v>225</v>
      </c>
      <c r="D201" s="30">
        <v>0</v>
      </c>
      <c r="E201" s="30">
        <f>225</f>
        <v>225</v>
      </c>
      <c r="F201" s="30">
        <v>0</v>
      </c>
    </row>
    <row r="202" spans="1:6" ht="15" customHeight="1" x14ac:dyDescent="0.2">
      <c r="A202" s="33"/>
      <c r="B202" s="33" t="s">
        <v>534</v>
      </c>
      <c r="C202" s="30">
        <f>SUM(D202:F202)</f>
        <v>225</v>
      </c>
      <c r="D202" s="30">
        <v>0</v>
      </c>
      <c r="E202" s="30">
        <f>225</f>
        <v>225</v>
      </c>
      <c r="F202" s="30">
        <v>0</v>
      </c>
    </row>
    <row r="203" spans="1:6" ht="15" customHeight="1" x14ac:dyDescent="0.2">
      <c r="A203" s="33"/>
      <c r="B203" s="33" t="s">
        <v>398</v>
      </c>
      <c r="C203" s="30">
        <f>SUM(D203:F203)</f>
        <v>225</v>
      </c>
      <c r="D203" s="30">
        <f>225</f>
        <v>225</v>
      </c>
      <c r="E203" s="30">
        <v>0</v>
      </c>
      <c r="F203" s="30">
        <v>0</v>
      </c>
    </row>
    <row r="204" spans="1:6" ht="15" customHeight="1" x14ac:dyDescent="0.2">
      <c r="A204" s="33"/>
      <c r="B204" s="33" t="s">
        <v>547</v>
      </c>
      <c r="C204" s="30">
        <f>SUM(D204:F204)</f>
        <v>225</v>
      </c>
      <c r="D204" s="30">
        <v>0</v>
      </c>
      <c r="E204" s="30">
        <f>225</f>
        <v>225</v>
      </c>
      <c r="F204" s="30">
        <v>0</v>
      </c>
    </row>
    <row r="205" spans="1:6" ht="15" customHeight="1" x14ac:dyDescent="0.2">
      <c r="A205" s="33"/>
      <c r="B205" s="33" t="s">
        <v>479</v>
      </c>
      <c r="C205" s="30">
        <f>SUM(D205:F205)</f>
        <v>225</v>
      </c>
      <c r="D205" s="30">
        <f>225</f>
        <v>225</v>
      </c>
      <c r="E205" s="30">
        <v>0</v>
      </c>
      <c r="F205" s="30">
        <v>0</v>
      </c>
    </row>
    <row r="206" spans="1:6" ht="15" customHeight="1" x14ac:dyDescent="0.2">
      <c r="A206" s="33"/>
      <c r="B206" s="33" t="s">
        <v>195</v>
      </c>
      <c r="C206" s="30">
        <f>SUM(D206:F206)</f>
        <v>225</v>
      </c>
      <c r="D206" s="30">
        <v>0</v>
      </c>
      <c r="E206" s="30">
        <f>225</f>
        <v>225</v>
      </c>
      <c r="F206" s="30">
        <v>0</v>
      </c>
    </row>
    <row r="207" spans="1:6" ht="15" customHeight="1" x14ac:dyDescent="0.2">
      <c r="A207" s="33"/>
      <c r="B207" s="33" t="s">
        <v>443</v>
      </c>
      <c r="C207" s="30">
        <f>SUM(D207:F207)</f>
        <v>225</v>
      </c>
      <c r="D207" s="30">
        <f>225</f>
        <v>225</v>
      </c>
      <c r="E207" s="30">
        <v>0</v>
      </c>
      <c r="F207" s="30">
        <v>0</v>
      </c>
    </row>
    <row r="208" spans="1:6" ht="15" customHeight="1" x14ac:dyDescent="0.2">
      <c r="A208" s="33"/>
      <c r="B208" s="33" t="s">
        <v>435</v>
      </c>
      <c r="C208" s="30">
        <f>SUM(D208:F208)</f>
        <v>225</v>
      </c>
      <c r="D208" s="30">
        <v>225</v>
      </c>
      <c r="E208" s="30">
        <v>0</v>
      </c>
      <c r="F208" s="30">
        <v>0</v>
      </c>
    </row>
    <row r="209" spans="1:6" ht="15" customHeight="1" x14ac:dyDescent="0.2">
      <c r="A209" s="33"/>
      <c r="B209" s="33" t="s">
        <v>546</v>
      </c>
      <c r="C209" s="30">
        <f>SUM(D209:F209)</f>
        <v>225</v>
      </c>
      <c r="D209" s="30">
        <v>0</v>
      </c>
      <c r="E209" s="30">
        <f>225</f>
        <v>225</v>
      </c>
      <c r="F209" s="30">
        <v>0</v>
      </c>
    </row>
    <row r="210" spans="1:6" ht="15" customHeight="1" x14ac:dyDescent="0.2">
      <c r="A210" s="33"/>
      <c r="B210" s="33" t="s">
        <v>539</v>
      </c>
      <c r="C210" s="30">
        <f>SUM(D210:F210)</f>
        <v>225</v>
      </c>
      <c r="D210" s="30">
        <v>0</v>
      </c>
      <c r="E210" s="30">
        <f>225</f>
        <v>225</v>
      </c>
      <c r="F210" s="30">
        <v>0</v>
      </c>
    </row>
    <row r="211" spans="1:6" ht="15" customHeight="1" x14ac:dyDescent="0.2">
      <c r="A211" s="33"/>
      <c r="B211" s="33" t="s">
        <v>500</v>
      </c>
      <c r="C211" s="30">
        <f>SUM(D211:F211)</f>
        <v>225</v>
      </c>
      <c r="D211" s="30">
        <v>0</v>
      </c>
      <c r="E211" s="30">
        <f>225</f>
        <v>225</v>
      </c>
      <c r="F211" s="30">
        <v>0</v>
      </c>
    </row>
    <row r="212" spans="1:6" ht="15" customHeight="1" x14ac:dyDescent="0.2">
      <c r="A212" s="33"/>
      <c r="B212" s="33" t="s">
        <v>527</v>
      </c>
      <c r="C212" s="30">
        <f>SUM(D212:F212)</f>
        <v>225</v>
      </c>
      <c r="D212" s="30">
        <v>0</v>
      </c>
      <c r="E212" s="30">
        <f>225</f>
        <v>225</v>
      </c>
      <c r="F212" s="30">
        <v>0</v>
      </c>
    </row>
    <row r="213" spans="1:6" ht="15" customHeight="1" x14ac:dyDescent="0.2">
      <c r="A213" s="33"/>
      <c r="B213" s="33" t="s">
        <v>363</v>
      </c>
      <c r="C213" s="30">
        <f>SUM(D213:F213)</f>
        <v>200</v>
      </c>
      <c r="D213" s="30">
        <f>200</f>
        <v>200</v>
      </c>
      <c r="E213" s="30">
        <v>0</v>
      </c>
      <c r="F213" s="30">
        <v>0</v>
      </c>
    </row>
    <row r="214" spans="1:6" ht="15" customHeight="1" x14ac:dyDescent="0.2">
      <c r="A214" s="33"/>
      <c r="B214" s="33" t="s">
        <v>498</v>
      </c>
      <c r="C214" s="30">
        <f>SUM(D214:F214)</f>
        <v>200</v>
      </c>
      <c r="D214" s="30">
        <v>0</v>
      </c>
      <c r="E214" s="30">
        <f>200</f>
        <v>200</v>
      </c>
      <c r="F214" s="30">
        <v>0</v>
      </c>
    </row>
    <row r="215" spans="1:6" ht="15" customHeight="1" x14ac:dyDescent="0.2">
      <c r="A215" s="33"/>
      <c r="B215" s="33" t="s">
        <v>446</v>
      </c>
      <c r="C215" s="30">
        <f>SUM(D215:F215)</f>
        <v>200</v>
      </c>
      <c r="D215" s="30">
        <f>200</f>
        <v>200</v>
      </c>
      <c r="E215" s="30">
        <v>0</v>
      </c>
      <c r="F215" s="30">
        <v>0</v>
      </c>
    </row>
    <row r="216" spans="1:6" ht="15" customHeight="1" x14ac:dyDescent="0.2">
      <c r="A216" s="33"/>
      <c r="B216" s="33" t="s">
        <v>482</v>
      </c>
      <c r="C216" s="30">
        <f>SUM(D216:F216)</f>
        <v>200</v>
      </c>
      <c r="D216" s="30">
        <v>0</v>
      </c>
      <c r="E216" s="30">
        <f>200</f>
        <v>200</v>
      </c>
      <c r="F216" s="30">
        <v>0</v>
      </c>
    </row>
    <row r="217" spans="1:6" ht="15" customHeight="1" x14ac:dyDescent="0.2">
      <c r="A217" s="33"/>
      <c r="B217" s="33" t="s">
        <v>436</v>
      </c>
      <c r="C217" s="30">
        <f>SUM(D217:F217)</f>
        <v>200</v>
      </c>
      <c r="D217" s="30">
        <f>200</f>
        <v>200</v>
      </c>
      <c r="E217" s="30">
        <v>0</v>
      </c>
      <c r="F217" s="30">
        <v>0</v>
      </c>
    </row>
    <row r="218" spans="1:6" ht="15" customHeight="1" x14ac:dyDescent="0.2">
      <c r="A218" s="33"/>
      <c r="B218" s="33" t="s">
        <v>519</v>
      </c>
      <c r="C218" s="30">
        <f>SUM(D218:F218)</f>
        <v>200</v>
      </c>
      <c r="D218" s="30">
        <v>0</v>
      </c>
      <c r="E218" s="30">
        <v>200</v>
      </c>
      <c r="F218" s="30">
        <v>0</v>
      </c>
    </row>
    <row r="219" spans="1:6" ht="15" customHeight="1" x14ac:dyDescent="0.2">
      <c r="A219" s="33"/>
      <c r="B219" s="33" t="s">
        <v>558</v>
      </c>
      <c r="C219" s="30">
        <f>SUM(D219:F219)</f>
        <v>200</v>
      </c>
      <c r="D219" s="30">
        <v>0</v>
      </c>
      <c r="E219" s="30">
        <v>0</v>
      </c>
      <c r="F219" s="30">
        <f>200</f>
        <v>200</v>
      </c>
    </row>
    <row r="220" spans="1:6" ht="15" customHeight="1" x14ac:dyDescent="0.2">
      <c r="A220" s="33"/>
      <c r="B220" s="33" t="s">
        <v>447</v>
      </c>
      <c r="C220" s="30">
        <f>SUM(D220:F220)</f>
        <v>175</v>
      </c>
      <c r="D220" s="30">
        <f>175</f>
        <v>175</v>
      </c>
      <c r="E220" s="30">
        <v>0</v>
      </c>
      <c r="F220" s="30">
        <v>0</v>
      </c>
    </row>
    <row r="221" spans="1:6" ht="15" customHeight="1" x14ac:dyDescent="0.2">
      <c r="A221" s="33"/>
      <c r="B221" s="33" t="s">
        <v>488</v>
      </c>
      <c r="C221" s="30">
        <f>SUM(D221:F221)</f>
        <v>175</v>
      </c>
      <c r="D221" s="30">
        <v>0</v>
      </c>
      <c r="E221" s="30">
        <v>175</v>
      </c>
      <c r="F221" s="30">
        <v>0</v>
      </c>
    </row>
    <row r="222" spans="1:6" ht="15" customHeight="1" x14ac:dyDescent="0.2">
      <c r="A222" s="33"/>
      <c r="B222" s="33" t="s">
        <v>416</v>
      </c>
      <c r="C222" s="30">
        <f>SUM(D222:F222)</f>
        <v>175</v>
      </c>
      <c r="D222" s="30">
        <f>175</f>
        <v>175</v>
      </c>
      <c r="E222" s="30">
        <v>0</v>
      </c>
      <c r="F222" s="30">
        <v>0</v>
      </c>
    </row>
    <row r="223" spans="1:6" ht="15" customHeight="1" x14ac:dyDescent="0.2">
      <c r="A223" s="33"/>
      <c r="B223" s="33" t="s">
        <v>441</v>
      </c>
      <c r="C223" s="30">
        <f>SUM(D223:F223)</f>
        <v>175</v>
      </c>
      <c r="D223" s="30">
        <f>175</f>
        <v>175</v>
      </c>
      <c r="E223" s="30">
        <v>0</v>
      </c>
      <c r="F223" s="30">
        <v>0</v>
      </c>
    </row>
    <row r="224" spans="1:6" ht="15" customHeight="1" x14ac:dyDescent="0.2">
      <c r="A224" s="33"/>
      <c r="B224" s="33" t="s">
        <v>421</v>
      </c>
      <c r="C224" s="30">
        <f>SUM(D224:F224)</f>
        <v>175</v>
      </c>
      <c r="D224" s="30">
        <f>175</f>
        <v>175</v>
      </c>
      <c r="E224" s="30">
        <v>0</v>
      </c>
      <c r="F224" s="30">
        <v>0</v>
      </c>
    </row>
    <row r="225" spans="1:6" ht="15" customHeight="1" x14ac:dyDescent="0.2">
      <c r="A225" s="33"/>
      <c r="B225" s="33" t="s">
        <v>360</v>
      </c>
      <c r="C225" s="30">
        <f>SUM(D225:F225)</f>
        <v>175</v>
      </c>
      <c r="D225" s="30">
        <f>175</f>
        <v>175</v>
      </c>
      <c r="E225" s="30">
        <v>0</v>
      </c>
      <c r="F225" s="30">
        <v>0</v>
      </c>
    </row>
    <row r="226" spans="1:6" ht="15" customHeight="1" x14ac:dyDescent="0.2">
      <c r="A226" s="33"/>
      <c r="B226" s="33" t="s">
        <v>528</v>
      </c>
      <c r="C226" s="30">
        <f>SUM(D226:F226)</f>
        <v>175</v>
      </c>
      <c r="D226" s="30">
        <v>0</v>
      </c>
      <c r="E226" s="30">
        <f>175</f>
        <v>175</v>
      </c>
      <c r="F226" s="30">
        <v>0</v>
      </c>
    </row>
    <row r="227" spans="1:6" ht="15" customHeight="1" x14ac:dyDescent="0.2">
      <c r="A227" s="33"/>
      <c r="B227" s="33" t="s">
        <v>562</v>
      </c>
      <c r="C227" s="30">
        <f>SUM(D227:F227)</f>
        <v>175</v>
      </c>
      <c r="D227" s="30">
        <v>0</v>
      </c>
      <c r="E227" s="30">
        <v>0</v>
      </c>
      <c r="F227" s="30">
        <f>175</f>
        <v>175</v>
      </c>
    </row>
    <row r="228" spans="1:6" ht="15" customHeight="1" x14ac:dyDescent="0.2">
      <c r="A228" s="33"/>
      <c r="B228" s="33" t="s">
        <v>437</v>
      </c>
      <c r="C228" s="30">
        <f>SUM(D228:F228)</f>
        <v>175</v>
      </c>
      <c r="D228" s="30">
        <v>175</v>
      </c>
      <c r="E228" s="30">
        <v>0</v>
      </c>
      <c r="F228" s="30">
        <v>0</v>
      </c>
    </row>
    <row r="229" spans="1:6" ht="15" customHeight="1" x14ac:dyDescent="0.2">
      <c r="A229" s="33"/>
      <c r="B229" s="33" t="s">
        <v>549</v>
      </c>
      <c r="C229" s="30">
        <f>SUM(D229:F229)</f>
        <v>160</v>
      </c>
      <c r="D229" s="30">
        <v>0</v>
      </c>
      <c r="E229" s="30">
        <f>160</f>
        <v>160</v>
      </c>
      <c r="F229" s="30">
        <v>0</v>
      </c>
    </row>
    <row r="230" spans="1:6" ht="15" customHeight="1" x14ac:dyDescent="0.2">
      <c r="A230" s="33"/>
      <c r="B230" s="33" t="s">
        <v>448</v>
      </c>
      <c r="C230" s="30">
        <f>SUM(D230:F230)</f>
        <v>160</v>
      </c>
      <c r="D230" s="30">
        <f>160</f>
        <v>160</v>
      </c>
      <c r="E230" s="30">
        <v>0</v>
      </c>
      <c r="F230" s="30">
        <v>0</v>
      </c>
    </row>
    <row r="231" spans="1:6" ht="15" customHeight="1" x14ac:dyDescent="0.2">
      <c r="A231" s="33"/>
      <c r="B231" s="33" t="s">
        <v>454</v>
      </c>
      <c r="C231" s="30">
        <f>SUM(D231:F231)</f>
        <v>160</v>
      </c>
      <c r="D231" s="30">
        <f>160</f>
        <v>160</v>
      </c>
      <c r="E231" s="30">
        <v>0</v>
      </c>
      <c r="F231" s="30">
        <v>0</v>
      </c>
    </row>
    <row r="232" spans="1:6" ht="15" customHeight="1" x14ac:dyDescent="0.2">
      <c r="A232" s="33"/>
      <c r="B232" s="33" t="s">
        <v>487</v>
      </c>
      <c r="C232" s="30">
        <f>SUM(D232:F232)</f>
        <v>160</v>
      </c>
      <c r="D232" s="30">
        <v>0</v>
      </c>
      <c r="E232" s="30">
        <f>160</f>
        <v>160</v>
      </c>
      <c r="F232" s="30">
        <v>0</v>
      </c>
    </row>
    <row r="233" spans="1:6" ht="15" customHeight="1" x14ac:dyDescent="0.2">
      <c r="A233" s="33"/>
      <c r="B233" s="33" t="s">
        <v>483</v>
      </c>
      <c r="C233" s="30">
        <f>SUM(D233:F233)</f>
        <v>160</v>
      </c>
      <c r="D233" s="30">
        <v>0</v>
      </c>
      <c r="E233" s="30">
        <f>160</f>
        <v>160</v>
      </c>
      <c r="F233" s="30">
        <v>0</v>
      </c>
    </row>
    <row r="234" spans="1:6" ht="15" customHeight="1" x14ac:dyDescent="0.2">
      <c r="A234" s="33"/>
      <c r="B234" s="33" t="s">
        <v>386</v>
      </c>
      <c r="C234" s="30">
        <f>SUM(D234:F234)</f>
        <v>145</v>
      </c>
      <c r="D234" s="30">
        <f>145</f>
        <v>145</v>
      </c>
      <c r="E234" s="30">
        <v>0</v>
      </c>
      <c r="F234" s="30">
        <v>0</v>
      </c>
    </row>
    <row r="235" spans="1:6" ht="15" customHeight="1" x14ac:dyDescent="0.2">
      <c r="A235" s="33"/>
      <c r="B235" s="33" t="s">
        <v>402</v>
      </c>
      <c r="C235" s="30">
        <f>SUM(D235:F235)</f>
        <v>145</v>
      </c>
      <c r="D235" s="30">
        <f>145</f>
        <v>145</v>
      </c>
      <c r="E235" s="30">
        <v>0</v>
      </c>
      <c r="F235" s="30">
        <v>0</v>
      </c>
    </row>
    <row r="236" spans="1:6" ht="15" customHeight="1" x14ac:dyDescent="0.2">
      <c r="A236" s="33"/>
      <c r="B236" s="33" t="s">
        <v>511</v>
      </c>
      <c r="C236" s="30">
        <f>SUM(D236:F236)</f>
        <v>145</v>
      </c>
      <c r="D236" s="30">
        <v>0</v>
      </c>
      <c r="E236" s="30">
        <f>145</f>
        <v>145</v>
      </c>
      <c r="F236" s="30">
        <v>0</v>
      </c>
    </row>
    <row r="237" spans="1:6" ht="15" customHeight="1" x14ac:dyDescent="0.2">
      <c r="A237" s="33"/>
      <c r="B237" s="33" t="s">
        <v>370</v>
      </c>
      <c r="C237" s="30">
        <f>SUM(D237:F237)</f>
        <v>145</v>
      </c>
      <c r="D237" s="30">
        <f>145</f>
        <v>145</v>
      </c>
      <c r="E237" s="30">
        <v>0</v>
      </c>
      <c r="F237" s="30">
        <v>0</v>
      </c>
    </row>
    <row r="238" spans="1:6" ht="15" customHeight="1" x14ac:dyDescent="0.2">
      <c r="A238" s="33"/>
      <c r="B238" s="33" t="s">
        <v>449</v>
      </c>
      <c r="C238" s="30">
        <f>SUM(D238:F238)</f>
        <v>145</v>
      </c>
      <c r="D238" s="30">
        <f>145</f>
        <v>145</v>
      </c>
      <c r="E238" s="30">
        <v>0</v>
      </c>
      <c r="F238" s="30">
        <v>0</v>
      </c>
    </row>
    <row r="239" spans="1:6" ht="15" customHeight="1" x14ac:dyDescent="0.2">
      <c r="A239" s="33"/>
      <c r="B239" s="33" t="s">
        <v>515</v>
      </c>
      <c r="C239" s="30">
        <f>SUM(D239:F239)</f>
        <v>145</v>
      </c>
      <c r="D239" s="30">
        <v>0</v>
      </c>
      <c r="E239" s="30">
        <f>145</f>
        <v>145</v>
      </c>
      <c r="F239" s="30">
        <v>0</v>
      </c>
    </row>
    <row r="240" spans="1:6" ht="15" customHeight="1" x14ac:dyDescent="0.2">
      <c r="A240" s="33"/>
      <c r="B240" s="33" t="s">
        <v>506</v>
      </c>
      <c r="C240" s="30">
        <f>SUM(D240:F240)</f>
        <v>145</v>
      </c>
      <c r="D240" s="30">
        <v>0</v>
      </c>
      <c r="E240" s="30">
        <f>145</f>
        <v>145</v>
      </c>
      <c r="F240" s="30">
        <v>0</v>
      </c>
    </row>
    <row r="241" spans="1:6" ht="15" customHeight="1" x14ac:dyDescent="0.2">
      <c r="A241" s="33"/>
      <c r="B241" s="33" t="s">
        <v>489</v>
      </c>
      <c r="C241" s="30">
        <f>SUM(D241:F241)</f>
        <v>145</v>
      </c>
      <c r="D241" s="30">
        <v>0</v>
      </c>
      <c r="E241" s="30">
        <f>145</f>
        <v>145</v>
      </c>
      <c r="F241" s="30">
        <v>0</v>
      </c>
    </row>
    <row r="242" spans="1:6" ht="15" customHeight="1" x14ac:dyDescent="0.2">
      <c r="A242" s="33"/>
      <c r="B242" s="33" t="s">
        <v>503</v>
      </c>
      <c r="C242" s="30">
        <f>SUM(D242:F242)</f>
        <v>145</v>
      </c>
      <c r="D242" s="30">
        <v>0</v>
      </c>
      <c r="E242" s="30">
        <f>145</f>
        <v>145</v>
      </c>
      <c r="F242" s="30">
        <v>0</v>
      </c>
    </row>
    <row r="243" spans="1:6" ht="15" customHeight="1" x14ac:dyDescent="0.2">
      <c r="A243" s="33"/>
      <c r="B243" s="33" t="s">
        <v>514</v>
      </c>
      <c r="C243" s="30">
        <f>SUM(D243:F243)</f>
        <v>145</v>
      </c>
      <c r="D243" s="30">
        <v>0</v>
      </c>
      <c r="E243" s="30">
        <f>145</f>
        <v>145</v>
      </c>
      <c r="F243" s="30">
        <v>0</v>
      </c>
    </row>
    <row r="244" spans="1:6" ht="15" customHeight="1" x14ac:dyDescent="0.2">
      <c r="A244" s="33"/>
      <c r="B244" s="33" t="s">
        <v>536</v>
      </c>
      <c r="C244" s="30">
        <f>SUM(D244:F244)</f>
        <v>145</v>
      </c>
      <c r="D244" s="30">
        <v>0</v>
      </c>
      <c r="E244" s="30">
        <f>145</f>
        <v>145</v>
      </c>
      <c r="F244" s="30">
        <v>0</v>
      </c>
    </row>
    <row r="245" spans="1:6" ht="15" customHeight="1" x14ac:dyDescent="0.2">
      <c r="A245" s="33"/>
      <c r="B245" s="33" t="s">
        <v>477</v>
      </c>
      <c r="C245" s="30">
        <f>SUM(D245:F245)</f>
        <v>145</v>
      </c>
      <c r="D245" s="30">
        <f>145</f>
        <v>145</v>
      </c>
      <c r="E245" s="30">
        <v>0</v>
      </c>
      <c r="F245" s="30">
        <v>0</v>
      </c>
    </row>
    <row r="246" spans="1:6" ht="15" customHeight="1" x14ac:dyDescent="0.2">
      <c r="A246" s="33"/>
      <c r="B246" s="33" t="s">
        <v>491</v>
      </c>
      <c r="C246" s="30">
        <f>SUM(D246:F246)</f>
        <v>145</v>
      </c>
      <c r="D246" s="30">
        <v>0</v>
      </c>
      <c r="E246" s="30">
        <f>145</f>
        <v>145</v>
      </c>
      <c r="F246" s="30">
        <v>0</v>
      </c>
    </row>
    <row r="247" spans="1:6" ht="15" customHeight="1" x14ac:dyDescent="0.2">
      <c r="A247" s="33"/>
      <c r="B247" s="33" t="s">
        <v>374</v>
      </c>
      <c r="C247" s="30">
        <f>SUM(D247:F247)</f>
        <v>145</v>
      </c>
      <c r="D247" s="30">
        <f>145</f>
        <v>145</v>
      </c>
      <c r="E247" s="30">
        <v>0</v>
      </c>
      <c r="F247" s="30">
        <v>0</v>
      </c>
    </row>
    <row r="248" spans="1:6" ht="15" customHeight="1" x14ac:dyDescent="0.2">
      <c r="A248" s="33"/>
      <c r="B248" s="33" t="s">
        <v>459</v>
      </c>
      <c r="C248" s="30">
        <f>SUM(D248:F248)</f>
        <v>145</v>
      </c>
      <c r="D248" s="30">
        <f>145</f>
        <v>145</v>
      </c>
      <c r="E248" s="30">
        <v>0</v>
      </c>
      <c r="F248" s="30">
        <v>0</v>
      </c>
    </row>
    <row r="249" spans="1:6" ht="15" customHeight="1" x14ac:dyDescent="0.2">
      <c r="A249" s="33"/>
      <c r="B249" s="33" t="s">
        <v>475</v>
      </c>
      <c r="C249" s="30">
        <f>SUM(D249:F249)</f>
        <v>145</v>
      </c>
      <c r="D249" s="30">
        <f>145</f>
        <v>145</v>
      </c>
      <c r="E249" s="30">
        <v>0</v>
      </c>
      <c r="F249" s="30">
        <v>0</v>
      </c>
    </row>
    <row r="250" spans="1:6" ht="15" customHeight="1" x14ac:dyDescent="0.2">
      <c r="A250" s="33"/>
      <c r="B250" s="33" t="s">
        <v>495</v>
      </c>
      <c r="C250" s="30">
        <f>SUM(D250:F250)</f>
        <v>145</v>
      </c>
      <c r="D250" s="30">
        <v>0</v>
      </c>
      <c r="E250" s="30">
        <f>145</f>
        <v>145</v>
      </c>
      <c r="F250" s="30">
        <v>0</v>
      </c>
    </row>
    <row r="251" spans="1:6" ht="15" customHeight="1" x14ac:dyDescent="0.2">
      <c r="A251" s="33"/>
      <c r="B251" s="33" t="s">
        <v>412</v>
      </c>
      <c r="C251" s="30">
        <f>SUM(D251:F251)</f>
        <v>145</v>
      </c>
      <c r="D251" s="30">
        <f>145</f>
        <v>145</v>
      </c>
      <c r="E251" s="30">
        <v>0</v>
      </c>
      <c r="F251" s="30">
        <v>0</v>
      </c>
    </row>
    <row r="252" spans="1:6" ht="15" customHeight="1" x14ac:dyDescent="0.2">
      <c r="A252" s="33"/>
      <c r="B252" s="33" t="s">
        <v>555</v>
      </c>
      <c r="C252" s="30">
        <f>SUM(D252:F252)</f>
        <v>130</v>
      </c>
      <c r="D252" s="30">
        <v>0</v>
      </c>
      <c r="E252" s="30">
        <v>0</v>
      </c>
      <c r="F252" s="30">
        <f>130</f>
        <v>130</v>
      </c>
    </row>
    <row r="253" spans="1:6" ht="15" customHeight="1" x14ac:dyDescent="0.2">
      <c r="A253" s="33"/>
      <c r="B253" s="33" t="s">
        <v>450</v>
      </c>
      <c r="C253" s="30">
        <f>SUM(D253:F253)</f>
        <v>130</v>
      </c>
      <c r="D253" s="30">
        <f>130</f>
        <v>130</v>
      </c>
      <c r="E253" s="30">
        <v>0</v>
      </c>
      <c r="F253" s="30">
        <v>0</v>
      </c>
    </row>
    <row r="254" spans="1:6" ht="15" customHeight="1" x14ac:dyDescent="0.2">
      <c r="A254" s="33"/>
      <c r="B254" s="33" t="s">
        <v>556</v>
      </c>
      <c r="C254" s="30">
        <f>SUM(D254:F254)</f>
        <v>130</v>
      </c>
      <c r="D254" s="30">
        <v>0</v>
      </c>
      <c r="E254" s="30">
        <v>0</v>
      </c>
      <c r="F254" s="30">
        <f>130</f>
        <v>130</v>
      </c>
    </row>
    <row r="255" spans="1:6" ht="15" customHeight="1" x14ac:dyDescent="0.2">
      <c r="A255" s="33"/>
      <c r="B255" s="33" t="s">
        <v>409</v>
      </c>
      <c r="C255" s="30">
        <f>SUM(D255:F255)</f>
        <v>130</v>
      </c>
      <c r="D255" s="30">
        <f>130</f>
        <v>130</v>
      </c>
      <c r="E255" s="30">
        <v>0</v>
      </c>
      <c r="F255" s="30">
        <v>0</v>
      </c>
    </row>
    <row r="256" spans="1:6" ht="15" customHeight="1" x14ac:dyDescent="0.2">
      <c r="A256" s="33"/>
      <c r="B256" s="33" t="s">
        <v>535</v>
      </c>
      <c r="C256" s="30">
        <f>SUM(D256:F256)</f>
        <v>130</v>
      </c>
      <c r="D256" s="30">
        <v>0</v>
      </c>
      <c r="E256" s="30">
        <f>130</f>
        <v>130</v>
      </c>
      <c r="F256" s="30">
        <v>0</v>
      </c>
    </row>
    <row r="257" spans="1:6" ht="15" customHeight="1" x14ac:dyDescent="0.2">
      <c r="A257" s="33"/>
      <c r="B257" s="33" t="s">
        <v>430</v>
      </c>
      <c r="C257" s="30">
        <f>SUM(D257:F257)</f>
        <v>130</v>
      </c>
      <c r="D257" s="30">
        <v>130</v>
      </c>
      <c r="E257" s="30">
        <v>0</v>
      </c>
      <c r="F257" s="30">
        <v>0</v>
      </c>
    </row>
    <row r="258" spans="1:6" ht="15" customHeight="1" x14ac:dyDescent="0.2">
      <c r="A258" s="33"/>
      <c r="B258" s="33" t="s">
        <v>423</v>
      </c>
      <c r="C258" s="30">
        <f>SUM(D258:F258)</f>
        <v>130</v>
      </c>
      <c r="D258" s="30">
        <f>130</f>
        <v>130</v>
      </c>
      <c r="E258" s="30">
        <v>0</v>
      </c>
      <c r="F258" s="30">
        <v>0</v>
      </c>
    </row>
    <row r="259" spans="1:6" ht="15" customHeight="1" x14ac:dyDescent="0.2">
      <c r="A259" s="33"/>
      <c r="B259" s="33" t="s">
        <v>403</v>
      </c>
      <c r="C259" s="30">
        <f>SUM(D259:F259)</f>
        <v>130</v>
      </c>
      <c r="D259" s="30">
        <f>130</f>
        <v>130</v>
      </c>
      <c r="E259" s="30">
        <v>0</v>
      </c>
      <c r="F259" s="30">
        <v>0</v>
      </c>
    </row>
    <row r="260" spans="1:6" ht="15" customHeight="1" x14ac:dyDescent="0.2">
      <c r="A260" s="33"/>
      <c r="B260" s="33" t="s">
        <v>541</v>
      </c>
      <c r="C260" s="30">
        <f>SUM(D260:F260)</f>
        <v>115</v>
      </c>
      <c r="D260" s="30">
        <v>0</v>
      </c>
      <c r="E260" s="30">
        <f>115</f>
        <v>115</v>
      </c>
      <c r="F260" s="30">
        <v>0</v>
      </c>
    </row>
    <row r="261" spans="1:6" ht="15" customHeight="1" x14ac:dyDescent="0.2">
      <c r="A261" s="33"/>
      <c r="B261" s="33" t="s">
        <v>525</v>
      </c>
      <c r="C261" s="30">
        <f>SUM(D261:F261)</f>
        <v>115</v>
      </c>
      <c r="D261" s="30">
        <v>0</v>
      </c>
      <c r="E261" s="30">
        <f>115</f>
        <v>115</v>
      </c>
      <c r="F261" s="30">
        <v>0</v>
      </c>
    </row>
    <row r="262" spans="1:6" ht="15" customHeight="1" x14ac:dyDescent="0.2">
      <c r="A262" s="33"/>
      <c r="B262" s="33" t="s">
        <v>375</v>
      </c>
      <c r="C262" s="30">
        <f>SUM(D262:F262)</f>
        <v>115</v>
      </c>
      <c r="D262" s="30">
        <f>115</f>
        <v>115</v>
      </c>
      <c r="E262" s="30">
        <v>0</v>
      </c>
      <c r="F262" s="30">
        <v>0</v>
      </c>
    </row>
    <row r="263" spans="1:6" ht="15" customHeight="1" x14ac:dyDescent="0.2">
      <c r="A263" s="33"/>
      <c r="B263" s="33" t="s">
        <v>563</v>
      </c>
      <c r="C263" s="30">
        <f>SUM(D263:F263)</f>
        <v>115</v>
      </c>
      <c r="D263" s="30">
        <v>0</v>
      </c>
      <c r="E263" s="30">
        <v>0</v>
      </c>
      <c r="F263" s="30">
        <f>115</f>
        <v>115</v>
      </c>
    </row>
    <row r="264" spans="1:6" ht="15" customHeight="1" x14ac:dyDescent="0.2">
      <c r="A264" s="33"/>
      <c r="B264" s="33" t="s">
        <v>480</v>
      </c>
      <c r="C264" s="30">
        <f>SUM(D264:F264)</f>
        <v>115</v>
      </c>
      <c r="D264" s="30">
        <f>115</f>
        <v>115</v>
      </c>
      <c r="E264" s="30">
        <v>0</v>
      </c>
      <c r="F264" s="30">
        <v>0</v>
      </c>
    </row>
    <row r="265" spans="1:6" ht="15" customHeight="1" x14ac:dyDescent="0.2">
      <c r="A265" s="33"/>
      <c r="B265" s="33" t="s">
        <v>460</v>
      </c>
      <c r="C265" s="30">
        <f>SUM(D265:F265)</f>
        <v>115</v>
      </c>
      <c r="D265" s="30">
        <f>115</f>
        <v>115</v>
      </c>
      <c r="E265" s="30">
        <v>0</v>
      </c>
      <c r="F265" s="30">
        <v>0</v>
      </c>
    </row>
    <row r="266" spans="1:6" ht="15" customHeight="1" x14ac:dyDescent="0.2">
      <c r="A266" s="33"/>
      <c r="B266" s="33" t="s">
        <v>521</v>
      </c>
      <c r="C266" s="30">
        <f>SUM(D266:F266)</f>
        <v>115</v>
      </c>
      <c r="D266" s="30">
        <v>0</v>
      </c>
      <c r="E266" s="30">
        <f>115</f>
        <v>115</v>
      </c>
      <c r="F266" s="30">
        <v>0</v>
      </c>
    </row>
    <row r="267" spans="1:6" ht="15" customHeight="1" x14ac:dyDescent="0.2">
      <c r="A267" s="33"/>
      <c r="B267" s="33" t="s">
        <v>512</v>
      </c>
      <c r="C267" s="30">
        <f>SUM(D267:F267)</f>
        <v>115</v>
      </c>
      <c r="D267" s="30">
        <v>0</v>
      </c>
      <c r="E267" s="30">
        <f>115</f>
        <v>115</v>
      </c>
      <c r="F267" s="30">
        <v>0</v>
      </c>
    </row>
    <row r="268" spans="1:6" ht="15" customHeight="1" x14ac:dyDescent="0.2">
      <c r="A268" s="33"/>
      <c r="B268" s="33" t="s">
        <v>522</v>
      </c>
      <c r="C268" s="30">
        <f>SUM(D268:F268)</f>
        <v>115</v>
      </c>
      <c r="D268" s="30">
        <v>0</v>
      </c>
      <c r="E268" s="30">
        <f>115</f>
        <v>115</v>
      </c>
      <c r="F268" s="30">
        <v>0</v>
      </c>
    </row>
    <row r="269" spans="1:6" ht="15" customHeight="1" x14ac:dyDescent="0.2">
      <c r="A269" s="33"/>
      <c r="B269" s="33" t="s">
        <v>507</v>
      </c>
      <c r="C269" s="30">
        <f>SUM(D269:F269)</f>
        <v>115</v>
      </c>
      <c r="D269" s="30">
        <v>0</v>
      </c>
      <c r="E269" s="30">
        <f>115</f>
        <v>115</v>
      </c>
      <c r="F269" s="30">
        <v>0</v>
      </c>
    </row>
    <row r="270" spans="1:6" ht="15" customHeight="1" x14ac:dyDescent="0.2">
      <c r="A270" s="33"/>
      <c r="B270" s="33" t="s">
        <v>236</v>
      </c>
      <c r="C270" s="30">
        <f>SUM(D270:F270)</f>
        <v>115</v>
      </c>
      <c r="D270" s="30">
        <f>115</f>
        <v>115</v>
      </c>
      <c r="E270" s="30">
        <v>0</v>
      </c>
      <c r="F270" s="30">
        <v>0</v>
      </c>
    </row>
    <row r="271" spans="1:6" ht="13.5" x14ac:dyDescent="0.25">
      <c r="B271" s="29"/>
    </row>
    <row r="272" spans="1:6" ht="18.75" customHeight="1" x14ac:dyDescent="0.25">
      <c r="A272" s="26" t="s">
        <v>428</v>
      </c>
      <c r="B272" s="28"/>
      <c r="C272" s="27"/>
      <c r="D272" s="3"/>
      <c r="E272" s="3"/>
      <c r="F272" s="3"/>
    </row>
  </sheetData>
  <sortState ref="A8:F270">
    <sortCondition descending="1" ref="C8:C270"/>
  </sortState>
  <mergeCells count="6">
    <mergeCell ref="A1:F1"/>
    <mergeCell ref="A2:F2"/>
    <mergeCell ref="A6:F6"/>
    <mergeCell ref="A3:F3"/>
    <mergeCell ref="A4:F4"/>
    <mergeCell ref="A5:F5"/>
  </mergeCells>
  <pageMargins left="0.25" right="0" top="0.25" bottom="0.25" header="0.3" footer="0.3"/>
  <pageSetup paperSize="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50" t="s">
        <v>17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51" t="s">
        <v>107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15" ht="9.75" customHeight="1" x14ac:dyDescent="0.4">
      <c r="A4" s="51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</row>
    <row r="5" spans="1:15" ht="30" customHeight="1" x14ac:dyDescent="0.4">
      <c r="A5" s="53" t="s">
        <v>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44" t="s">
        <v>3</v>
      </c>
      <c r="B51" s="45"/>
      <c r="C51" s="45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46" t="s">
        <v>4</v>
      </c>
      <c r="B52" s="47"/>
      <c r="C52" s="47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48" t="s">
        <v>5</v>
      </c>
      <c r="B53" s="49"/>
      <c r="C53" s="49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50" t="s">
        <v>17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51" t="s">
        <v>101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15" ht="9.75" customHeight="1" x14ac:dyDescent="0.4">
      <c r="A4" s="51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</row>
    <row r="5" spans="1:15" ht="30" customHeight="1" x14ac:dyDescent="0.4">
      <c r="A5" s="53" t="s">
        <v>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44" t="s">
        <v>3</v>
      </c>
      <c r="B52" s="45"/>
      <c r="C52" s="45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46" t="s">
        <v>4</v>
      </c>
      <c r="B53" s="47"/>
      <c r="C53" s="47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48" t="s">
        <v>5</v>
      </c>
      <c r="B54" s="49"/>
      <c r="C54" s="49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45" customHeight="1" x14ac:dyDescent="0.5">
      <c r="A2" s="50" t="s">
        <v>17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33" customHeight="1" x14ac:dyDescent="0.4">
      <c r="A3" s="51" t="s">
        <v>82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4" spans="1:16" ht="9.75" customHeight="1" x14ac:dyDescent="0.4">
      <c r="A4" s="51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6" ht="30" customHeight="1" x14ac:dyDescent="0.4">
      <c r="A5" s="53" t="s">
        <v>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6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44" t="s">
        <v>3</v>
      </c>
      <c r="B43" s="45"/>
      <c r="C43" s="45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46" t="s">
        <v>4</v>
      </c>
      <c r="B44" s="47"/>
      <c r="C44" s="47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48" t="s">
        <v>5</v>
      </c>
      <c r="B45" s="49"/>
      <c r="C45" s="49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45" customHeight="1" x14ac:dyDescent="0.5">
      <c r="A2" s="50" t="s">
        <v>17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33" customHeight="1" x14ac:dyDescent="0.4">
      <c r="A3" s="51" t="s">
        <v>48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4" spans="1:16" ht="9.75" customHeight="1" x14ac:dyDescent="0.4">
      <c r="A4" s="51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6" ht="30" customHeight="1" x14ac:dyDescent="0.4">
      <c r="A5" s="53" t="s">
        <v>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6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44" t="s">
        <v>3</v>
      </c>
      <c r="B47" s="45"/>
      <c r="C47" s="45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46" t="s">
        <v>4</v>
      </c>
      <c r="B48" s="47"/>
      <c r="C48" s="47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48" t="s">
        <v>5</v>
      </c>
      <c r="B49" s="49"/>
      <c r="C49" s="4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45" customHeight="1" x14ac:dyDescent="0.5">
      <c r="A2" s="50" t="s">
        <v>17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33" customHeight="1" x14ac:dyDescent="0.4">
      <c r="A3" s="51" t="s">
        <v>43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4" spans="1:16" ht="9.75" customHeight="1" x14ac:dyDescent="0.4">
      <c r="A4" s="51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6" ht="30" customHeight="1" x14ac:dyDescent="0.4">
      <c r="A5" s="53" t="s">
        <v>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6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44" t="s">
        <v>3</v>
      </c>
      <c r="B48" s="45"/>
      <c r="C48" s="45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46" t="s">
        <v>4</v>
      </c>
      <c r="B49" s="47"/>
      <c r="C49" s="47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48" t="s">
        <v>5</v>
      </c>
      <c r="B50" s="49"/>
      <c r="C50" s="49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B62" sqref="B62"/>
    </sheetView>
  </sheetViews>
  <sheetFormatPr defaultRowHeight="12.75" x14ac:dyDescent="0.2"/>
  <cols>
    <col min="1" max="1" width="6.85546875" customWidth="1"/>
    <col min="2" max="2" width="18.85546875" customWidth="1"/>
    <col min="3" max="3" width="8.140625" customWidth="1"/>
    <col min="4" max="6" width="5.28515625" customWidth="1"/>
    <col min="7" max="7" width="6.85546875" customWidth="1"/>
    <col min="8" max="8" width="7.28515625" customWidth="1"/>
    <col min="9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50" t="s">
        <v>247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40.5" customHeight="1" x14ac:dyDescent="0.4">
      <c r="A3" s="51" t="s">
        <v>326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15" ht="9.75" customHeight="1" x14ac:dyDescent="0.4">
      <c r="A4" s="51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</row>
    <row r="5" spans="1:15" ht="30" customHeight="1" x14ac:dyDescent="0.4">
      <c r="A5" s="53" t="s">
        <v>278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45823</v>
      </c>
      <c r="E7" s="18">
        <v>45830</v>
      </c>
      <c r="F7" s="18">
        <v>45837</v>
      </c>
      <c r="G7" s="18" t="s">
        <v>270</v>
      </c>
      <c r="H7" s="18" t="s">
        <v>271</v>
      </c>
      <c r="I7" s="18" t="s">
        <v>272</v>
      </c>
      <c r="J7" s="18" t="s">
        <v>273</v>
      </c>
      <c r="K7" s="18" t="s">
        <v>274</v>
      </c>
      <c r="L7" s="18" t="s">
        <v>275</v>
      </c>
      <c r="M7" s="18" t="s">
        <v>276</v>
      </c>
      <c r="N7" s="18" t="s">
        <v>277</v>
      </c>
      <c r="O7" s="18" t="s">
        <v>327</v>
      </c>
    </row>
    <row r="8" spans="1:15" ht="15" customHeight="1" x14ac:dyDescent="0.2">
      <c r="A8" s="20">
        <v>1</v>
      </c>
      <c r="B8" s="20" t="s">
        <v>248</v>
      </c>
      <c r="C8" s="22">
        <f t="shared" ref="C8:C39" si="0">SUM(D8:O8)</f>
        <v>6650</v>
      </c>
      <c r="D8" s="21">
        <v>475</v>
      </c>
      <c r="E8" s="21">
        <v>475</v>
      </c>
      <c r="F8" s="21">
        <v>0</v>
      </c>
      <c r="G8" s="21">
        <f>250</f>
        <v>250</v>
      </c>
      <c r="H8" s="21">
        <f>300+300</f>
        <v>600</v>
      </c>
      <c r="I8" s="21">
        <f>325</f>
        <v>325</v>
      </c>
      <c r="J8" s="21">
        <f>375+225</f>
        <v>600</v>
      </c>
      <c r="K8" s="21">
        <f>425+350</f>
        <v>775</v>
      </c>
      <c r="L8" s="21">
        <f>175+300</f>
        <v>475</v>
      </c>
      <c r="M8" s="21">
        <f>325+425</f>
        <v>750</v>
      </c>
      <c r="N8" s="21">
        <f>425+375</f>
        <v>800</v>
      </c>
      <c r="O8" s="21">
        <f>475+300+350</f>
        <v>1125</v>
      </c>
    </row>
    <row r="9" spans="1:15" ht="15" customHeight="1" x14ac:dyDescent="0.2">
      <c r="A9" s="20">
        <v>2</v>
      </c>
      <c r="B9" s="20" t="s">
        <v>229</v>
      </c>
      <c r="C9" s="22">
        <f t="shared" si="0"/>
        <v>6300</v>
      </c>
      <c r="D9" s="21">
        <v>375</v>
      </c>
      <c r="E9" s="21">
        <v>375</v>
      </c>
      <c r="F9" s="21">
        <v>425</v>
      </c>
      <c r="G9" s="21">
        <v>275</v>
      </c>
      <c r="H9" s="21">
        <f>475+225</f>
        <v>700</v>
      </c>
      <c r="I9" s="21">
        <f>225+575</f>
        <v>800</v>
      </c>
      <c r="J9" s="21">
        <v>0</v>
      </c>
      <c r="K9" s="21">
        <v>575</v>
      </c>
      <c r="L9" s="21">
        <f>575+475+145</f>
        <v>1195</v>
      </c>
      <c r="M9" s="21">
        <f>145+375</f>
        <v>520</v>
      </c>
      <c r="N9" s="21">
        <f>375+160</f>
        <v>535</v>
      </c>
      <c r="O9" s="21">
        <f>225+300</f>
        <v>525</v>
      </c>
    </row>
    <row r="10" spans="1:15" ht="15" customHeight="1" x14ac:dyDescent="0.2">
      <c r="A10" s="20">
        <v>3</v>
      </c>
      <c r="B10" s="20" t="s">
        <v>244</v>
      </c>
      <c r="C10" s="22">
        <f t="shared" si="0"/>
        <v>4660</v>
      </c>
      <c r="D10" s="21">
        <v>425</v>
      </c>
      <c r="E10" s="21">
        <v>0</v>
      </c>
      <c r="F10" s="21">
        <v>0</v>
      </c>
      <c r="G10" s="21">
        <v>575</v>
      </c>
      <c r="H10" s="21">
        <f>325+160</f>
        <v>485</v>
      </c>
      <c r="I10" s="21">
        <f>115+250</f>
        <v>365</v>
      </c>
      <c r="J10" s="21">
        <f>250</f>
        <v>250</v>
      </c>
      <c r="K10" s="21">
        <f>160+250</f>
        <v>410</v>
      </c>
      <c r="L10" s="21">
        <f>250+375+475</f>
        <v>1100</v>
      </c>
      <c r="M10" s="21">
        <v>0</v>
      </c>
      <c r="N10" s="21">
        <f>175+200</f>
        <v>375</v>
      </c>
      <c r="O10" s="21">
        <f>425+250</f>
        <v>675</v>
      </c>
    </row>
    <row r="11" spans="1:15" ht="15" customHeight="1" x14ac:dyDescent="0.2">
      <c r="A11" s="20">
        <v>4</v>
      </c>
      <c r="B11" s="20" t="s">
        <v>266</v>
      </c>
      <c r="C11" s="22">
        <f t="shared" si="0"/>
        <v>4630</v>
      </c>
      <c r="D11" s="21">
        <v>0</v>
      </c>
      <c r="E11" s="21">
        <v>0</v>
      </c>
      <c r="F11" s="21">
        <v>160</v>
      </c>
      <c r="G11" s="21">
        <v>145</v>
      </c>
      <c r="H11" s="21">
        <f>275+425</f>
        <v>700</v>
      </c>
      <c r="I11" s="21">
        <v>375</v>
      </c>
      <c r="J11" s="21">
        <f>475+325</f>
        <v>800</v>
      </c>
      <c r="K11" s="21">
        <f>175+375</f>
        <v>550</v>
      </c>
      <c r="L11" s="21">
        <f>350+200+225</f>
        <v>775</v>
      </c>
      <c r="M11" s="21">
        <v>300</v>
      </c>
      <c r="N11" s="21">
        <f>575</f>
        <v>575</v>
      </c>
      <c r="O11" s="21">
        <f>250</f>
        <v>250</v>
      </c>
    </row>
    <row r="12" spans="1:15" ht="15" customHeight="1" x14ac:dyDescent="0.2">
      <c r="A12" s="20">
        <v>5</v>
      </c>
      <c r="B12" s="20" t="s">
        <v>297</v>
      </c>
      <c r="C12" s="22">
        <f t="shared" si="0"/>
        <v>4525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>250+475</f>
        <v>725</v>
      </c>
      <c r="J12" s="21">
        <f>425+250</f>
        <v>675</v>
      </c>
      <c r="K12" s="21">
        <f>325+175</f>
        <v>500</v>
      </c>
      <c r="L12" s="21">
        <f>300+175+300</f>
        <v>775</v>
      </c>
      <c r="M12" s="21">
        <f>200+175</f>
        <v>375</v>
      </c>
      <c r="N12" s="21">
        <f>300+475</f>
        <v>775</v>
      </c>
      <c r="O12" s="21">
        <f>325+375</f>
        <v>700</v>
      </c>
    </row>
    <row r="13" spans="1:15" ht="15" customHeight="1" x14ac:dyDescent="0.2">
      <c r="A13" s="20">
        <v>6</v>
      </c>
      <c r="B13" s="20" t="s">
        <v>249</v>
      </c>
      <c r="C13" s="22">
        <f t="shared" si="0"/>
        <v>4375</v>
      </c>
      <c r="D13" s="21">
        <v>575</v>
      </c>
      <c r="E13" s="21">
        <v>325</v>
      </c>
      <c r="F13" s="21">
        <v>0</v>
      </c>
      <c r="G13" s="21">
        <f>145+160</f>
        <v>305</v>
      </c>
      <c r="H13" s="21">
        <v>115</v>
      </c>
      <c r="I13" s="21">
        <f>475</f>
        <v>475</v>
      </c>
      <c r="J13" s="21">
        <f>145+200</f>
        <v>345</v>
      </c>
      <c r="K13" s="21">
        <f>200+130</f>
        <v>330</v>
      </c>
      <c r="L13" s="21">
        <v>0</v>
      </c>
      <c r="M13" s="21">
        <f>130+225</f>
        <v>355</v>
      </c>
      <c r="N13" s="21">
        <f>275+425</f>
        <v>700</v>
      </c>
      <c r="O13" s="21">
        <f>275+575</f>
        <v>850</v>
      </c>
    </row>
    <row r="14" spans="1:15" ht="15" customHeight="1" x14ac:dyDescent="0.2">
      <c r="A14" s="20">
        <v>7</v>
      </c>
      <c r="B14" s="20" t="s">
        <v>296</v>
      </c>
      <c r="C14" s="22">
        <f t="shared" si="0"/>
        <v>4290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>275+200</f>
        <v>475</v>
      </c>
      <c r="J14" s="21">
        <f>325+300</f>
        <v>625</v>
      </c>
      <c r="K14" s="21">
        <v>325</v>
      </c>
      <c r="L14" s="21">
        <f>115+275+575</f>
        <v>965</v>
      </c>
      <c r="M14" s="21">
        <f>475+130</f>
        <v>605</v>
      </c>
      <c r="N14" s="21">
        <f>145</f>
        <v>145</v>
      </c>
      <c r="O14" s="21">
        <f>300+275+575</f>
        <v>1150</v>
      </c>
    </row>
    <row r="15" spans="1:15" ht="15" customHeight="1" x14ac:dyDescent="0.2">
      <c r="A15" s="20">
        <v>8</v>
      </c>
      <c r="B15" s="20" t="s">
        <v>265</v>
      </c>
      <c r="C15" s="22">
        <f t="shared" si="0"/>
        <v>3870</v>
      </c>
      <c r="D15" s="21">
        <v>0</v>
      </c>
      <c r="E15" s="21">
        <v>0</v>
      </c>
      <c r="F15" s="21">
        <v>175</v>
      </c>
      <c r="G15" s="21">
        <v>0</v>
      </c>
      <c r="H15" s="21">
        <f>375+200</f>
        <v>575</v>
      </c>
      <c r="I15" s="21">
        <f>200</f>
        <v>200</v>
      </c>
      <c r="J15" s="21">
        <f>275+130</f>
        <v>405</v>
      </c>
      <c r="K15" s="21">
        <f>475+300</f>
        <v>775</v>
      </c>
      <c r="L15" s="21">
        <f>225+225+350</f>
        <v>800</v>
      </c>
      <c r="M15" s="21">
        <v>575</v>
      </c>
      <c r="N15" s="21">
        <f>250</f>
        <v>250</v>
      </c>
      <c r="O15" s="21">
        <f>115</f>
        <v>115</v>
      </c>
    </row>
    <row r="16" spans="1:15" ht="15" customHeight="1" x14ac:dyDescent="0.2">
      <c r="A16" s="20">
        <v>9</v>
      </c>
      <c r="B16" s="20" t="s">
        <v>290</v>
      </c>
      <c r="C16" s="22">
        <f t="shared" si="0"/>
        <v>3760</v>
      </c>
      <c r="D16" s="21">
        <v>0</v>
      </c>
      <c r="E16" s="21">
        <v>0</v>
      </c>
      <c r="F16" s="21">
        <v>0</v>
      </c>
      <c r="G16" s="21">
        <v>130</v>
      </c>
      <c r="H16" s="21">
        <f>575+350</f>
        <v>925</v>
      </c>
      <c r="I16" s="21">
        <f>145+130</f>
        <v>275</v>
      </c>
      <c r="J16" s="21">
        <f>200+115</f>
        <v>315</v>
      </c>
      <c r="K16" s="21">
        <f>145+200</f>
        <v>345</v>
      </c>
      <c r="L16" s="21">
        <v>0</v>
      </c>
      <c r="M16" s="21">
        <f>225+475</f>
        <v>700</v>
      </c>
      <c r="N16" s="21">
        <f>225+145</f>
        <v>370</v>
      </c>
      <c r="O16" s="21">
        <f>200+225+275</f>
        <v>700</v>
      </c>
    </row>
    <row r="17" spans="1:15" ht="15" customHeight="1" x14ac:dyDescent="0.2">
      <c r="A17" s="20">
        <v>10</v>
      </c>
      <c r="B17" s="20" t="s">
        <v>268</v>
      </c>
      <c r="C17" s="22">
        <f t="shared" si="0"/>
        <v>3460</v>
      </c>
      <c r="D17" s="21">
        <v>0</v>
      </c>
      <c r="E17" s="21">
        <v>0</v>
      </c>
      <c r="F17" s="21">
        <v>130</v>
      </c>
      <c r="G17" s="21">
        <f>575</f>
        <v>575</v>
      </c>
      <c r="H17" s="21">
        <f>145</f>
        <v>145</v>
      </c>
      <c r="I17" s="21">
        <v>325</v>
      </c>
      <c r="J17" s="21">
        <v>0</v>
      </c>
      <c r="K17" s="21">
        <v>275</v>
      </c>
      <c r="L17" s="21">
        <f>375+160</f>
        <v>535</v>
      </c>
      <c r="M17" s="21">
        <v>250</v>
      </c>
      <c r="N17" s="21">
        <v>300</v>
      </c>
      <c r="O17" s="21">
        <f>575+350</f>
        <v>925</v>
      </c>
    </row>
    <row r="18" spans="1:15" ht="15" customHeight="1" x14ac:dyDescent="0.2">
      <c r="A18" s="20">
        <v>11</v>
      </c>
      <c r="B18" s="20" t="s">
        <v>292</v>
      </c>
      <c r="C18" s="21">
        <f t="shared" si="0"/>
        <v>3375</v>
      </c>
      <c r="D18" s="21">
        <v>0</v>
      </c>
      <c r="E18" s="21">
        <v>0</v>
      </c>
      <c r="F18" s="21">
        <v>0</v>
      </c>
      <c r="G18" s="21">
        <v>0</v>
      </c>
      <c r="H18" s="21">
        <f>425+575</f>
        <v>1000</v>
      </c>
      <c r="I18" s="21">
        <f>575+425</f>
        <v>1000</v>
      </c>
      <c r="J18" s="21">
        <f>225</f>
        <v>225</v>
      </c>
      <c r="K18" s="21">
        <f>250+160</f>
        <v>410</v>
      </c>
      <c r="L18" s="21">
        <f>275+350</f>
        <v>625</v>
      </c>
      <c r="M18" s="21">
        <v>0</v>
      </c>
      <c r="N18" s="21">
        <v>0</v>
      </c>
      <c r="O18" s="21">
        <f>115</f>
        <v>115</v>
      </c>
    </row>
    <row r="19" spans="1:15" ht="15" customHeight="1" x14ac:dyDescent="0.2">
      <c r="A19" s="20">
        <v>12</v>
      </c>
      <c r="B19" s="20" t="s">
        <v>288</v>
      </c>
      <c r="C19" s="21">
        <f t="shared" si="0"/>
        <v>2910</v>
      </c>
      <c r="D19" s="21">
        <v>0</v>
      </c>
      <c r="E19" s="21">
        <v>0</v>
      </c>
      <c r="F19" s="21">
        <v>0</v>
      </c>
      <c r="G19" s="21">
        <v>350</v>
      </c>
      <c r="H19" s="21">
        <v>250</v>
      </c>
      <c r="I19" s="21">
        <v>175</v>
      </c>
      <c r="J19" s="21">
        <v>350</v>
      </c>
      <c r="K19" s="21">
        <v>475</v>
      </c>
      <c r="L19" s="21">
        <f>160+145+130</f>
        <v>435</v>
      </c>
      <c r="M19" s="21">
        <v>350</v>
      </c>
      <c r="N19" s="21">
        <v>350</v>
      </c>
      <c r="O19" s="21">
        <f>175</f>
        <v>175</v>
      </c>
    </row>
    <row r="20" spans="1:15" ht="15" customHeight="1" x14ac:dyDescent="0.2">
      <c r="A20" s="20">
        <v>13</v>
      </c>
      <c r="B20" s="20" t="s">
        <v>303</v>
      </c>
      <c r="C20" s="21">
        <f t="shared" si="0"/>
        <v>2765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f>300+475</f>
        <v>775</v>
      </c>
      <c r="K20" s="21">
        <f>350</f>
        <v>350</v>
      </c>
      <c r="L20" s="21">
        <v>200</v>
      </c>
      <c r="M20" s="21">
        <f>575</f>
        <v>575</v>
      </c>
      <c r="N20" s="21">
        <f>115+575</f>
        <v>690</v>
      </c>
      <c r="O20" s="21">
        <f>175</f>
        <v>175</v>
      </c>
    </row>
    <row r="21" spans="1:15" ht="15" customHeight="1" x14ac:dyDescent="0.2">
      <c r="A21" s="20">
        <v>14</v>
      </c>
      <c r="B21" s="20" t="s">
        <v>195</v>
      </c>
      <c r="C21" s="21">
        <f t="shared" si="0"/>
        <v>2655</v>
      </c>
      <c r="D21" s="21">
        <v>160</v>
      </c>
      <c r="E21" s="21">
        <v>0</v>
      </c>
      <c r="F21" s="21">
        <v>375</v>
      </c>
      <c r="G21" s="21">
        <v>375</v>
      </c>
      <c r="H21" s="21">
        <f>160+475</f>
        <v>635</v>
      </c>
      <c r="I21" s="21">
        <f>350+375</f>
        <v>725</v>
      </c>
      <c r="J21" s="21">
        <v>0</v>
      </c>
      <c r="K21" s="21">
        <v>0</v>
      </c>
      <c r="L21" s="21">
        <v>160</v>
      </c>
      <c r="M21" s="21">
        <v>0</v>
      </c>
      <c r="N21" s="21">
        <v>225</v>
      </c>
      <c r="O21" s="21">
        <v>0</v>
      </c>
    </row>
    <row r="22" spans="1:15" ht="15" customHeight="1" x14ac:dyDescent="0.2">
      <c r="A22" s="20">
        <v>15</v>
      </c>
      <c r="B22" s="20" t="s">
        <v>294</v>
      </c>
      <c r="C22" s="21">
        <f t="shared" si="0"/>
        <v>2420</v>
      </c>
      <c r="D22" s="21">
        <v>0</v>
      </c>
      <c r="E22" s="21">
        <v>0</v>
      </c>
      <c r="F22" s="21">
        <v>0</v>
      </c>
      <c r="G22" s="21">
        <v>0</v>
      </c>
      <c r="H22" s="21">
        <f>130</f>
        <v>130</v>
      </c>
      <c r="I22" s="21">
        <f>160</f>
        <v>160</v>
      </c>
      <c r="J22" s="21">
        <f>350</f>
        <v>350</v>
      </c>
      <c r="K22" s="21">
        <v>0</v>
      </c>
      <c r="L22" s="21">
        <f>145+425</f>
        <v>570</v>
      </c>
      <c r="M22" s="21">
        <f>160+325</f>
        <v>485</v>
      </c>
      <c r="N22" s="21">
        <f>350+115</f>
        <v>465</v>
      </c>
      <c r="O22" s="21">
        <f>130+130</f>
        <v>260</v>
      </c>
    </row>
    <row r="23" spans="1:15" ht="15" customHeight="1" x14ac:dyDescent="0.2">
      <c r="A23" s="20">
        <v>16</v>
      </c>
      <c r="B23" s="20" t="s">
        <v>250</v>
      </c>
      <c r="C23" s="21">
        <f t="shared" si="0"/>
        <v>2240</v>
      </c>
      <c r="D23" s="21">
        <v>350</v>
      </c>
      <c r="E23" s="21">
        <v>300</v>
      </c>
      <c r="F23" s="21">
        <v>0</v>
      </c>
      <c r="G23" s="21">
        <v>175</v>
      </c>
      <c r="H23" s="21">
        <f>115+275</f>
        <v>390</v>
      </c>
      <c r="I23" s="21">
        <f>300</f>
        <v>300</v>
      </c>
      <c r="J23" s="21">
        <v>0</v>
      </c>
      <c r="K23" s="21">
        <v>0</v>
      </c>
      <c r="L23" s="21">
        <f>130</f>
        <v>130</v>
      </c>
      <c r="M23" s="21">
        <f>275+145</f>
        <v>420</v>
      </c>
      <c r="N23" s="21">
        <v>0</v>
      </c>
      <c r="O23" s="21">
        <v>175</v>
      </c>
    </row>
    <row r="24" spans="1:15" ht="15" customHeight="1" x14ac:dyDescent="0.2">
      <c r="A24" s="20">
        <v>17</v>
      </c>
      <c r="B24" s="20" t="s">
        <v>259</v>
      </c>
      <c r="C24" s="21">
        <f t="shared" si="0"/>
        <v>2065</v>
      </c>
      <c r="D24" s="21">
        <v>0</v>
      </c>
      <c r="E24" s="21">
        <v>275</v>
      </c>
      <c r="F24" s="21">
        <v>200</v>
      </c>
      <c r="G24" s="21">
        <v>250</v>
      </c>
      <c r="H24" s="21">
        <f>200+325</f>
        <v>525</v>
      </c>
      <c r="I24" s="21">
        <v>0</v>
      </c>
      <c r="J24" s="21">
        <v>0</v>
      </c>
      <c r="K24" s="21">
        <f>275+425</f>
        <v>700</v>
      </c>
      <c r="L24" s="21">
        <v>0</v>
      </c>
      <c r="M24" s="21">
        <f>115</f>
        <v>115</v>
      </c>
      <c r="N24" s="21">
        <v>0</v>
      </c>
      <c r="O24" s="21">
        <v>0</v>
      </c>
    </row>
    <row r="25" spans="1:15" ht="15" customHeight="1" x14ac:dyDescent="0.2">
      <c r="A25" s="20">
        <v>18</v>
      </c>
      <c r="B25" s="20" t="s">
        <v>317</v>
      </c>
      <c r="C25" s="21">
        <f t="shared" si="0"/>
        <v>1685</v>
      </c>
      <c r="D25" s="21">
        <v>0</v>
      </c>
      <c r="E25" s="21">
        <v>0</v>
      </c>
      <c r="F25" s="21">
        <v>0</v>
      </c>
      <c r="G25" s="21">
        <v>325</v>
      </c>
      <c r="H25" s="21">
        <v>0</v>
      </c>
      <c r="I25" s="21">
        <v>0</v>
      </c>
      <c r="J25" s="21">
        <v>0</v>
      </c>
      <c r="K25" s="21">
        <v>0</v>
      </c>
      <c r="L25" s="21">
        <f>325+275</f>
        <v>600</v>
      </c>
      <c r="M25" s="21">
        <v>0</v>
      </c>
      <c r="N25" s="21">
        <v>275</v>
      </c>
      <c r="O25" s="21">
        <f>160+325</f>
        <v>485</v>
      </c>
    </row>
    <row r="26" spans="1:15" ht="15" customHeight="1" x14ac:dyDescent="0.2">
      <c r="A26" s="20">
        <v>19</v>
      </c>
      <c r="B26" s="20" t="s">
        <v>260</v>
      </c>
      <c r="C26" s="21">
        <f t="shared" si="0"/>
        <v>1640</v>
      </c>
      <c r="D26" s="21">
        <v>0</v>
      </c>
      <c r="E26" s="21">
        <v>0</v>
      </c>
      <c r="F26" s="21">
        <v>575</v>
      </c>
      <c r="G26" s="21">
        <v>200</v>
      </c>
      <c r="H26" s="21">
        <v>175</v>
      </c>
      <c r="I26" s="21">
        <v>0</v>
      </c>
      <c r="J26" s="21">
        <v>0</v>
      </c>
      <c r="K26" s="21">
        <v>0</v>
      </c>
      <c r="L26" s="21">
        <f>115+375</f>
        <v>490</v>
      </c>
      <c r="M26" s="21">
        <v>200</v>
      </c>
      <c r="N26" s="21">
        <v>0</v>
      </c>
      <c r="O26" s="21">
        <v>0</v>
      </c>
    </row>
    <row r="27" spans="1:15" ht="15" customHeight="1" x14ac:dyDescent="0.2">
      <c r="A27" s="20">
        <v>20</v>
      </c>
      <c r="B27" s="20" t="s">
        <v>279</v>
      </c>
      <c r="C27" s="21">
        <f t="shared" si="0"/>
        <v>1525</v>
      </c>
      <c r="D27" s="21">
        <v>0</v>
      </c>
      <c r="E27" s="21">
        <v>0</v>
      </c>
      <c r="F27" s="21">
        <v>0</v>
      </c>
      <c r="G27" s="21">
        <f>425</f>
        <v>425</v>
      </c>
      <c r="H27" s="21">
        <f>350</f>
        <v>350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325</v>
      </c>
      <c r="O27" s="21">
        <f>425</f>
        <v>425</v>
      </c>
    </row>
    <row r="28" spans="1:15" ht="15" customHeight="1" x14ac:dyDescent="0.2">
      <c r="A28" s="20">
        <v>21</v>
      </c>
      <c r="B28" s="20" t="s">
        <v>293</v>
      </c>
      <c r="C28" s="21">
        <f t="shared" si="0"/>
        <v>1510</v>
      </c>
      <c r="D28" s="21">
        <v>0</v>
      </c>
      <c r="E28" s="21">
        <v>0</v>
      </c>
      <c r="F28" s="21">
        <v>0</v>
      </c>
      <c r="G28" s="21">
        <v>0</v>
      </c>
      <c r="H28" s="21">
        <f>225</f>
        <v>225</v>
      </c>
      <c r="I28" s="21">
        <v>0</v>
      </c>
      <c r="J28" s="21">
        <f>130+275</f>
        <v>405</v>
      </c>
      <c r="K28" s="21">
        <f>115</f>
        <v>115</v>
      </c>
      <c r="L28" s="21">
        <f>275</f>
        <v>275</v>
      </c>
      <c r="M28" s="21">
        <v>0</v>
      </c>
      <c r="N28" s="21">
        <v>0</v>
      </c>
      <c r="O28" s="21">
        <f>375+115</f>
        <v>490</v>
      </c>
    </row>
    <row r="29" spans="1:15" ht="15" customHeight="1" x14ac:dyDescent="0.2">
      <c r="A29" s="20">
        <v>22</v>
      </c>
      <c r="B29" s="20" t="s">
        <v>286</v>
      </c>
      <c r="C29" s="21">
        <f t="shared" si="0"/>
        <v>1480</v>
      </c>
      <c r="D29" s="21">
        <v>0</v>
      </c>
      <c r="E29" s="21">
        <v>0</v>
      </c>
      <c r="F29" s="21">
        <v>300</v>
      </c>
      <c r="G29" s="21">
        <f>115+300</f>
        <v>415</v>
      </c>
      <c r="H29" s="21">
        <v>130</v>
      </c>
      <c r="I29" s="21">
        <v>160</v>
      </c>
      <c r="J29" s="21">
        <v>0</v>
      </c>
      <c r="K29" s="21">
        <v>115</v>
      </c>
      <c r="L29" s="21">
        <v>0</v>
      </c>
      <c r="M29" s="21">
        <v>160</v>
      </c>
      <c r="N29" s="21">
        <v>0</v>
      </c>
      <c r="O29" s="21">
        <f>200</f>
        <v>200</v>
      </c>
    </row>
    <row r="30" spans="1:15" ht="15" customHeight="1" x14ac:dyDescent="0.2">
      <c r="A30" s="20">
        <v>23</v>
      </c>
      <c r="B30" s="20" t="s">
        <v>300</v>
      </c>
      <c r="C30" s="21">
        <f t="shared" si="0"/>
        <v>1365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275</v>
      </c>
      <c r="J30" s="21">
        <v>0</v>
      </c>
      <c r="K30" s="21">
        <v>0</v>
      </c>
      <c r="L30" s="21">
        <v>325</v>
      </c>
      <c r="M30" s="21">
        <v>0</v>
      </c>
      <c r="N30" s="21">
        <v>0</v>
      </c>
      <c r="O30" s="21">
        <f>145+475+145</f>
        <v>765</v>
      </c>
    </row>
    <row r="31" spans="1:15" ht="15" customHeight="1" x14ac:dyDescent="0.2">
      <c r="A31" s="20">
        <v>24</v>
      </c>
      <c r="B31" s="20" t="s">
        <v>257</v>
      </c>
      <c r="C31" s="21">
        <f t="shared" si="0"/>
        <v>1325</v>
      </c>
      <c r="D31" s="21">
        <v>275</v>
      </c>
      <c r="E31" s="21">
        <v>575</v>
      </c>
      <c r="F31" s="21">
        <v>475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1:15" ht="15" customHeight="1" x14ac:dyDescent="0.2">
      <c r="A32" s="20">
        <v>25</v>
      </c>
      <c r="B32" s="20" t="s">
        <v>310</v>
      </c>
      <c r="C32" s="21">
        <f t="shared" si="0"/>
        <v>1150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>225</f>
        <v>225</v>
      </c>
      <c r="L32" s="21">
        <f>425</f>
        <v>425</v>
      </c>
      <c r="M32" s="21">
        <f>175</f>
        <v>175</v>
      </c>
      <c r="N32" s="21">
        <f>325</f>
        <v>325</v>
      </c>
      <c r="O32" s="21">
        <v>0</v>
      </c>
    </row>
    <row r="33" spans="1:15" ht="15" customHeight="1" x14ac:dyDescent="0.2">
      <c r="A33" s="20">
        <v>26</v>
      </c>
      <c r="B33" s="20" t="s">
        <v>245</v>
      </c>
      <c r="C33" s="21">
        <f t="shared" si="0"/>
        <v>1050</v>
      </c>
      <c r="D33" s="21">
        <v>300</v>
      </c>
      <c r="E33" s="21">
        <v>0</v>
      </c>
      <c r="F33" s="21">
        <v>0</v>
      </c>
      <c r="G33" s="21">
        <v>0</v>
      </c>
      <c r="H33" s="21">
        <f>250</f>
        <v>250</v>
      </c>
      <c r="I33" s="21">
        <v>225</v>
      </c>
      <c r="J33" s="21">
        <f>160</f>
        <v>160</v>
      </c>
      <c r="K33" s="21">
        <v>0</v>
      </c>
      <c r="L33" s="21">
        <v>115</v>
      </c>
      <c r="M33" s="21">
        <v>0</v>
      </c>
      <c r="N33" s="21">
        <v>0</v>
      </c>
      <c r="O33" s="21">
        <v>0</v>
      </c>
    </row>
    <row r="34" spans="1:15" ht="15" customHeight="1" x14ac:dyDescent="0.2">
      <c r="A34" s="20">
        <v>27</v>
      </c>
      <c r="B34" s="20" t="s">
        <v>298</v>
      </c>
      <c r="C34" s="21">
        <f t="shared" si="0"/>
        <v>900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f>175+300</f>
        <v>475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425</v>
      </c>
    </row>
    <row r="35" spans="1:15" ht="15" customHeight="1" x14ac:dyDescent="0.2">
      <c r="A35" s="20">
        <v>28</v>
      </c>
      <c r="B35" s="20" t="s">
        <v>313</v>
      </c>
      <c r="C35" s="21">
        <f t="shared" si="0"/>
        <v>840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>475</f>
        <v>475</v>
      </c>
      <c r="M35" s="21">
        <f>250+115</f>
        <v>365</v>
      </c>
      <c r="N35" s="21">
        <v>0</v>
      </c>
      <c r="O35" s="21">
        <v>0</v>
      </c>
    </row>
    <row r="36" spans="1:15" ht="15" customHeight="1" x14ac:dyDescent="0.2">
      <c r="A36" s="20">
        <v>29</v>
      </c>
      <c r="B36" s="20" t="s">
        <v>320</v>
      </c>
      <c r="C36" s="21">
        <f t="shared" si="0"/>
        <v>810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175</v>
      </c>
      <c r="M36" s="21">
        <v>0</v>
      </c>
      <c r="N36" s="21">
        <f>475</f>
        <v>475</v>
      </c>
      <c r="O36" s="21">
        <f>160</f>
        <v>160</v>
      </c>
    </row>
    <row r="37" spans="1:15" ht="15" customHeight="1" x14ac:dyDescent="0.2">
      <c r="A37" s="20">
        <v>30</v>
      </c>
      <c r="B37" s="20" t="s">
        <v>251</v>
      </c>
      <c r="C37" s="21">
        <f t="shared" si="0"/>
        <v>800</v>
      </c>
      <c r="D37" s="21">
        <v>325</v>
      </c>
      <c r="E37" s="21">
        <v>0</v>
      </c>
      <c r="F37" s="21">
        <v>0</v>
      </c>
      <c r="G37" s="21">
        <f>475</f>
        <v>475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ht="15" customHeight="1" x14ac:dyDescent="0.2">
      <c r="A38" s="20">
        <v>31</v>
      </c>
      <c r="B38" s="20" t="s">
        <v>319</v>
      </c>
      <c r="C38" s="21">
        <f t="shared" si="0"/>
        <v>790</v>
      </c>
      <c r="D38" s="21">
        <v>0</v>
      </c>
      <c r="E38" s="21">
        <v>0</v>
      </c>
      <c r="F38" s="21">
        <v>0</v>
      </c>
      <c r="G38" s="21">
        <v>0</v>
      </c>
      <c r="H38" s="21">
        <v>145</v>
      </c>
      <c r="I38" s="21">
        <v>0</v>
      </c>
      <c r="J38" s="21">
        <v>0</v>
      </c>
      <c r="K38" s="21">
        <v>0</v>
      </c>
      <c r="L38" s="21">
        <v>0</v>
      </c>
      <c r="M38" s="21">
        <v>275</v>
      </c>
      <c r="N38" s="21">
        <v>0</v>
      </c>
      <c r="O38" s="21">
        <f>145+225</f>
        <v>370</v>
      </c>
    </row>
    <row r="39" spans="1:15" ht="15" customHeight="1" x14ac:dyDescent="0.2">
      <c r="A39" s="20">
        <v>32</v>
      </c>
      <c r="B39" s="20" t="s">
        <v>280</v>
      </c>
      <c r="C39" s="21">
        <f t="shared" si="0"/>
        <v>725</v>
      </c>
      <c r="D39" s="21">
        <v>0</v>
      </c>
      <c r="E39" s="21">
        <v>0</v>
      </c>
      <c r="F39" s="21">
        <v>0</v>
      </c>
      <c r="G39" s="21">
        <f>375</f>
        <v>375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350</f>
        <v>350</v>
      </c>
    </row>
    <row r="40" spans="1:15" ht="15" customHeight="1" x14ac:dyDescent="0.2">
      <c r="A40" s="23">
        <v>33</v>
      </c>
      <c r="B40" s="23" t="s">
        <v>291</v>
      </c>
      <c r="C40" s="24">
        <f t="shared" ref="C40:C71" si="1">SUM(D40:O40)</f>
        <v>695</v>
      </c>
      <c r="D40" s="24">
        <v>0</v>
      </c>
      <c r="E40" s="24">
        <v>0</v>
      </c>
      <c r="F40" s="24">
        <v>0</v>
      </c>
      <c r="G40" s="24">
        <v>115</v>
      </c>
      <c r="H40" s="24">
        <f>175</f>
        <v>175</v>
      </c>
      <c r="I40" s="24">
        <f>130+115</f>
        <v>245</v>
      </c>
      <c r="J40" s="24">
        <v>160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pans="1:15" ht="15" customHeight="1" x14ac:dyDescent="0.2">
      <c r="A41" s="23">
        <v>34</v>
      </c>
      <c r="B41" s="23" t="s">
        <v>253</v>
      </c>
      <c r="C41" s="24">
        <f t="shared" si="1"/>
        <v>675</v>
      </c>
      <c r="D41" s="24">
        <v>200</v>
      </c>
      <c r="E41" s="24">
        <v>0</v>
      </c>
      <c r="F41" s="24">
        <v>0</v>
      </c>
      <c r="G41" s="24">
        <v>475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spans="1:15" ht="15" customHeight="1" x14ac:dyDescent="0.2">
      <c r="A42" s="23">
        <v>35</v>
      </c>
      <c r="B42" s="23" t="s">
        <v>199</v>
      </c>
      <c r="C42" s="24">
        <f t="shared" si="1"/>
        <v>650</v>
      </c>
      <c r="D42" s="24">
        <v>0</v>
      </c>
      <c r="E42" s="24">
        <v>425</v>
      </c>
      <c r="F42" s="24">
        <v>0</v>
      </c>
      <c r="G42" s="24">
        <f>225</f>
        <v>225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spans="1:15" ht="15" customHeight="1" x14ac:dyDescent="0.2">
      <c r="A43" s="23">
        <v>36</v>
      </c>
      <c r="B43" s="23" t="s">
        <v>261</v>
      </c>
      <c r="C43" s="24">
        <f t="shared" si="1"/>
        <v>625</v>
      </c>
      <c r="D43" s="24">
        <v>0</v>
      </c>
      <c r="E43" s="24">
        <v>0</v>
      </c>
      <c r="F43" s="24">
        <v>325</v>
      </c>
      <c r="G43" s="24">
        <f>300</f>
        <v>300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 ht="15" customHeight="1" x14ac:dyDescent="0.2">
      <c r="A44" s="23">
        <v>37</v>
      </c>
      <c r="B44" s="23" t="s">
        <v>328</v>
      </c>
      <c r="C44" s="24">
        <f t="shared" si="1"/>
        <v>575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250</v>
      </c>
      <c r="O44" s="24">
        <f>325</f>
        <v>325</v>
      </c>
    </row>
    <row r="45" spans="1:15" ht="15" customHeight="1" x14ac:dyDescent="0.2">
      <c r="A45" s="23">
        <v>37</v>
      </c>
      <c r="B45" s="23" t="s">
        <v>306</v>
      </c>
      <c r="C45" s="24">
        <f t="shared" si="1"/>
        <v>575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>575</f>
        <v>575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 ht="15" customHeight="1" x14ac:dyDescent="0.2">
      <c r="A46" s="23">
        <v>37</v>
      </c>
      <c r="B46" s="23" t="s">
        <v>304</v>
      </c>
      <c r="C46" s="24">
        <f t="shared" si="1"/>
        <v>575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>175+175</f>
        <v>350</v>
      </c>
      <c r="K46" s="24">
        <v>225</v>
      </c>
      <c r="L46" s="24">
        <v>0</v>
      </c>
      <c r="M46" s="24">
        <v>0</v>
      </c>
      <c r="N46" s="24">
        <v>0</v>
      </c>
      <c r="O46" s="24">
        <v>0</v>
      </c>
    </row>
    <row r="47" spans="1:15" ht="15" customHeight="1" x14ac:dyDescent="0.2">
      <c r="A47" s="23">
        <v>37</v>
      </c>
      <c r="B47" s="23" t="s">
        <v>316</v>
      </c>
      <c r="C47" s="24">
        <f t="shared" si="1"/>
        <v>575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f>575</f>
        <v>575</v>
      </c>
      <c r="M47" s="24">
        <v>0</v>
      </c>
      <c r="N47" s="24">
        <v>0</v>
      </c>
      <c r="O47" s="24">
        <v>0</v>
      </c>
    </row>
    <row r="48" spans="1:15" ht="15" customHeight="1" x14ac:dyDescent="0.2">
      <c r="A48" s="23">
        <v>37</v>
      </c>
      <c r="B48" s="23" t="s">
        <v>246</v>
      </c>
      <c r="C48" s="24">
        <f t="shared" si="1"/>
        <v>575</v>
      </c>
      <c r="D48" s="24">
        <v>225</v>
      </c>
      <c r="E48" s="24">
        <v>0</v>
      </c>
      <c r="F48" s="24">
        <v>350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</row>
    <row r="49" spans="1:15" ht="15" customHeight="1" x14ac:dyDescent="0.2">
      <c r="A49" s="23">
        <v>37</v>
      </c>
      <c r="B49" s="23" t="s">
        <v>302</v>
      </c>
      <c r="C49" s="24">
        <f t="shared" si="1"/>
        <v>575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>575</f>
        <v>575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</row>
    <row r="50" spans="1:15" ht="15" customHeight="1" x14ac:dyDescent="0.2">
      <c r="A50" s="23">
        <v>37</v>
      </c>
      <c r="B50" s="23" t="s">
        <v>309</v>
      </c>
      <c r="C50" s="24">
        <f t="shared" si="1"/>
        <v>575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f>575</f>
        <v>575</v>
      </c>
      <c r="L50" s="24">
        <v>0</v>
      </c>
      <c r="M50" s="24">
        <v>0</v>
      </c>
      <c r="N50" s="24">
        <v>0</v>
      </c>
      <c r="O50" s="24">
        <v>0</v>
      </c>
    </row>
    <row r="51" spans="1:15" ht="15" customHeight="1" x14ac:dyDescent="0.2">
      <c r="A51" s="23">
        <v>38</v>
      </c>
      <c r="B51" s="23" t="s">
        <v>318</v>
      </c>
      <c r="C51" s="24">
        <f t="shared" si="1"/>
        <v>555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f>130+425</f>
        <v>555</v>
      </c>
      <c r="M51" s="24">
        <v>0</v>
      </c>
      <c r="N51" s="24">
        <v>0</v>
      </c>
      <c r="O51" s="24">
        <v>0</v>
      </c>
    </row>
    <row r="52" spans="1:15" ht="15" customHeight="1" x14ac:dyDescent="0.2">
      <c r="A52" s="23">
        <v>39</v>
      </c>
      <c r="B52" s="23" t="s">
        <v>329</v>
      </c>
      <c r="C52" s="24">
        <f t="shared" si="1"/>
        <v>490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160</v>
      </c>
      <c r="O52" s="24">
        <f>130+200</f>
        <v>330</v>
      </c>
    </row>
    <row r="53" spans="1:15" ht="15" customHeight="1" x14ac:dyDescent="0.2">
      <c r="A53" s="23">
        <v>40</v>
      </c>
      <c r="B53" s="23" t="s">
        <v>331</v>
      </c>
      <c r="C53" s="24">
        <f t="shared" si="1"/>
        <v>475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475</v>
      </c>
    </row>
    <row r="54" spans="1:15" ht="15" customHeight="1" x14ac:dyDescent="0.2">
      <c r="A54" s="23">
        <v>41</v>
      </c>
      <c r="B54" s="23" t="s">
        <v>315</v>
      </c>
      <c r="C54" s="24">
        <f t="shared" si="1"/>
        <v>450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f>200+250</f>
        <v>450</v>
      </c>
      <c r="M54" s="24">
        <v>0</v>
      </c>
      <c r="N54" s="24">
        <v>0</v>
      </c>
      <c r="O54" s="24">
        <v>0</v>
      </c>
    </row>
    <row r="55" spans="1:15" ht="15" customHeight="1" x14ac:dyDescent="0.2">
      <c r="A55" s="23">
        <v>42</v>
      </c>
      <c r="B55" s="23" t="s">
        <v>287</v>
      </c>
      <c r="C55" s="24">
        <f t="shared" si="1"/>
        <v>425</v>
      </c>
      <c r="D55" s="24">
        <v>0</v>
      </c>
      <c r="E55" s="24">
        <v>0</v>
      </c>
      <c r="F55" s="24">
        <v>0</v>
      </c>
      <c r="G55" s="24">
        <v>425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</row>
    <row r="56" spans="1:15" ht="15" customHeight="1" x14ac:dyDescent="0.2">
      <c r="A56" s="23">
        <v>42</v>
      </c>
      <c r="B56" s="23" t="s">
        <v>321</v>
      </c>
      <c r="C56" s="24">
        <f t="shared" si="1"/>
        <v>425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f>425</f>
        <v>425</v>
      </c>
      <c r="N56" s="24">
        <v>0</v>
      </c>
      <c r="O56" s="24">
        <v>0</v>
      </c>
    </row>
    <row r="57" spans="1:15" ht="15" customHeight="1" x14ac:dyDescent="0.2">
      <c r="A57" s="23">
        <v>42</v>
      </c>
      <c r="B57" s="23" t="s">
        <v>218</v>
      </c>
      <c r="C57" s="24">
        <f t="shared" si="1"/>
        <v>425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425</f>
        <v>425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</row>
    <row r="58" spans="1:15" ht="15" customHeight="1" x14ac:dyDescent="0.2">
      <c r="A58" s="23">
        <v>42</v>
      </c>
      <c r="B58" s="23" t="s">
        <v>295</v>
      </c>
      <c r="C58" s="24">
        <f t="shared" si="1"/>
        <v>425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425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</row>
    <row r="59" spans="1:15" ht="15" customHeight="1" x14ac:dyDescent="0.2">
      <c r="A59" s="25">
        <v>43</v>
      </c>
      <c r="B59" s="25" t="s">
        <v>330</v>
      </c>
      <c r="C59" s="19">
        <f t="shared" si="1"/>
        <v>380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>
        <f>250</f>
        <v>250</v>
      </c>
    </row>
    <row r="60" spans="1:15" ht="15" customHeight="1" x14ac:dyDescent="0.2">
      <c r="A60" s="25">
        <v>43</v>
      </c>
      <c r="B60" s="25" t="s">
        <v>263</v>
      </c>
      <c r="C60" s="19">
        <f t="shared" si="1"/>
        <v>380</v>
      </c>
      <c r="D60" s="19">
        <v>0</v>
      </c>
      <c r="E60" s="19">
        <v>0</v>
      </c>
      <c r="F60" s="19">
        <v>250</v>
      </c>
      <c r="G60" s="19">
        <f>130</f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25">
        <v>44</v>
      </c>
      <c r="B61" s="25" t="s">
        <v>307</v>
      </c>
      <c r="C61" s="19">
        <f t="shared" si="1"/>
        <v>375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>375</f>
        <v>375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25">
        <v>44</v>
      </c>
      <c r="B62" s="25" t="s">
        <v>322</v>
      </c>
      <c r="C62" s="19">
        <f t="shared" si="1"/>
        <v>375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f>375</f>
        <v>375</v>
      </c>
      <c r="N62" s="19">
        <v>0</v>
      </c>
      <c r="O62" s="19">
        <v>0</v>
      </c>
    </row>
    <row r="63" spans="1:15" ht="15" customHeight="1" x14ac:dyDescent="0.2">
      <c r="A63" s="25">
        <v>44</v>
      </c>
      <c r="B63" s="25" t="s">
        <v>332</v>
      </c>
      <c r="C63" s="19">
        <f t="shared" si="1"/>
        <v>375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375</v>
      </c>
    </row>
    <row r="64" spans="1:15" ht="15" customHeight="1" x14ac:dyDescent="0.2">
      <c r="A64" s="25">
        <v>45</v>
      </c>
      <c r="B64" s="25" t="s">
        <v>281</v>
      </c>
      <c r="C64" s="19">
        <f t="shared" si="1"/>
        <v>350</v>
      </c>
      <c r="D64" s="19">
        <v>0</v>
      </c>
      <c r="E64" s="19">
        <v>0</v>
      </c>
      <c r="F64" s="19">
        <v>0</v>
      </c>
      <c r="G64" s="19">
        <f>350</f>
        <v>350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25">
        <v>45</v>
      </c>
      <c r="B65" s="25" t="s">
        <v>258</v>
      </c>
      <c r="C65" s="19">
        <f t="shared" si="1"/>
        <v>350</v>
      </c>
      <c r="D65" s="19">
        <v>0</v>
      </c>
      <c r="E65" s="19">
        <v>350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25">
        <v>45</v>
      </c>
      <c r="B66" s="25" t="s">
        <v>299</v>
      </c>
      <c r="C66" s="19">
        <f t="shared" si="1"/>
        <v>350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350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25">
        <v>46</v>
      </c>
      <c r="B67" s="25" t="s">
        <v>282</v>
      </c>
      <c r="C67" s="19">
        <f t="shared" si="1"/>
        <v>325</v>
      </c>
      <c r="D67" s="19">
        <v>0</v>
      </c>
      <c r="E67" s="19">
        <v>0</v>
      </c>
      <c r="F67" s="19">
        <v>0</v>
      </c>
      <c r="G67" s="19">
        <f>325</f>
        <v>325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25">
        <v>46</v>
      </c>
      <c r="B68" s="25" t="s">
        <v>314</v>
      </c>
      <c r="C68" s="19">
        <f t="shared" si="1"/>
        <v>325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f>325</f>
        <v>325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25">
        <v>47</v>
      </c>
      <c r="B69" s="25" t="s">
        <v>324</v>
      </c>
      <c r="C69" s="19">
        <f t="shared" si="1"/>
        <v>320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>160</f>
        <v>160</v>
      </c>
      <c r="O69" s="19">
        <v>160</v>
      </c>
    </row>
    <row r="70" spans="1:15" ht="15" customHeight="1" x14ac:dyDescent="0.2">
      <c r="A70" s="25">
        <v>48</v>
      </c>
      <c r="B70" s="25" t="s">
        <v>305</v>
      </c>
      <c r="C70" s="19">
        <f t="shared" si="1"/>
        <v>315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f>115</f>
        <v>115</v>
      </c>
      <c r="K70" s="19">
        <v>0</v>
      </c>
      <c r="L70" s="19">
        <v>0</v>
      </c>
      <c r="M70" s="19">
        <v>0</v>
      </c>
      <c r="N70" s="19">
        <f>200</f>
        <v>200</v>
      </c>
      <c r="O70" s="19">
        <v>0</v>
      </c>
    </row>
    <row r="71" spans="1:15" ht="15" customHeight="1" x14ac:dyDescent="0.2">
      <c r="A71" s="25">
        <v>49</v>
      </c>
      <c r="B71" s="25" t="s">
        <v>323</v>
      </c>
      <c r="C71" s="19">
        <f t="shared" si="1"/>
        <v>300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300</v>
      </c>
      <c r="N71" s="19">
        <v>0</v>
      </c>
      <c r="O71" s="19">
        <v>0</v>
      </c>
    </row>
    <row r="72" spans="1:15" ht="15" customHeight="1" x14ac:dyDescent="0.2">
      <c r="A72" s="25">
        <v>50</v>
      </c>
      <c r="B72" s="25" t="s">
        <v>262</v>
      </c>
      <c r="C72" s="19">
        <f t="shared" ref="C72:C88" si="2">SUM(D72:O72)</f>
        <v>275</v>
      </c>
      <c r="D72" s="19">
        <v>0</v>
      </c>
      <c r="E72" s="19">
        <v>0</v>
      </c>
      <c r="F72" s="19">
        <v>275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</row>
    <row r="73" spans="1:15" ht="15" customHeight="1" x14ac:dyDescent="0.2">
      <c r="A73" s="25">
        <v>50</v>
      </c>
      <c r="B73" s="25" t="s">
        <v>283</v>
      </c>
      <c r="C73" s="19">
        <f t="shared" si="2"/>
        <v>275</v>
      </c>
      <c r="D73" s="19">
        <v>0</v>
      </c>
      <c r="E73" s="19">
        <v>0</v>
      </c>
      <c r="F73" s="19">
        <v>0</v>
      </c>
      <c r="G73" s="19">
        <f>275</f>
        <v>275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15" customHeight="1" x14ac:dyDescent="0.2">
      <c r="A74" s="25">
        <v>51</v>
      </c>
      <c r="B74" s="25" t="s">
        <v>252</v>
      </c>
      <c r="C74" s="19">
        <f t="shared" si="2"/>
        <v>250</v>
      </c>
      <c r="D74" s="19">
        <v>250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15" customHeight="1" x14ac:dyDescent="0.2">
      <c r="A75" s="25">
        <v>52</v>
      </c>
      <c r="B75" s="25" t="s">
        <v>264</v>
      </c>
      <c r="C75" s="19">
        <f t="shared" si="2"/>
        <v>225</v>
      </c>
      <c r="D75" s="19">
        <v>0</v>
      </c>
      <c r="E75" s="19">
        <v>0</v>
      </c>
      <c r="F75" s="19">
        <v>225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ht="15" customHeight="1" x14ac:dyDescent="0.2">
      <c r="A76" s="25">
        <v>53</v>
      </c>
      <c r="B76" s="25" t="s">
        <v>289</v>
      </c>
      <c r="C76" s="19">
        <f t="shared" si="2"/>
        <v>200</v>
      </c>
      <c r="D76" s="19">
        <v>0</v>
      </c>
      <c r="E76" s="19">
        <v>0</v>
      </c>
      <c r="F76" s="19">
        <v>0</v>
      </c>
      <c r="G76" s="19">
        <v>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15" customHeight="1" x14ac:dyDescent="0.2">
      <c r="A77" s="25">
        <v>54</v>
      </c>
      <c r="B77" s="25" t="s">
        <v>284</v>
      </c>
      <c r="C77" s="19">
        <f t="shared" si="2"/>
        <v>175</v>
      </c>
      <c r="D77" s="19">
        <v>0</v>
      </c>
      <c r="E77" s="19">
        <v>0</v>
      </c>
      <c r="F77" s="19">
        <v>0</v>
      </c>
      <c r="G77" s="19">
        <f>175</f>
        <v>175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</row>
    <row r="78" spans="1:15" ht="15" customHeight="1" x14ac:dyDescent="0.2">
      <c r="A78" s="25">
        <v>54</v>
      </c>
      <c r="B78" s="25" t="s">
        <v>254</v>
      </c>
      <c r="C78" s="19">
        <f t="shared" si="2"/>
        <v>175</v>
      </c>
      <c r="D78" s="19">
        <v>175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15" customHeight="1" x14ac:dyDescent="0.2">
      <c r="A79" s="25">
        <v>55</v>
      </c>
      <c r="B79" s="25" t="s">
        <v>285</v>
      </c>
      <c r="C79" s="19">
        <f t="shared" si="2"/>
        <v>160</v>
      </c>
      <c r="D79" s="19">
        <v>0</v>
      </c>
      <c r="E79" s="19">
        <v>0</v>
      </c>
      <c r="F79" s="19">
        <v>0</v>
      </c>
      <c r="G79" s="19">
        <f>160</f>
        <v>160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15" customHeight="1" x14ac:dyDescent="0.2">
      <c r="A80" s="25">
        <v>56</v>
      </c>
      <c r="B80" s="25" t="s">
        <v>267</v>
      </c>
      <c r="C80" s="19">
        <f t="shared" si="2"/>
        <v>145</v>
      </c>
      <c r="D80" s="19">
        <v>0</v>
      </c>
      <c r="E80" s="19">
        <v>0</v>
      </c>
      <c r="F80" s="19">
        <v>145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</row>
    <row r="81" spans="1:15" ht="15" customHeight="1" x14ac:dyDescent="0.2">
      <c r="A81" s="25">
        <v>56</v>
      </c>
      <c r="B81" s="25" t="s">
        <v>301</v>
      </c>
      <c r="C81" s="19">
        <f t="shared" si="2"/>
        <v>145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145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5" ht="15" customHeight="1" x14ac:dyDescent="0.2">
      <c r="A82" s="25">
        <v>56</v>
      </c>
      <c r="B82" s="25" t="s">
        <v>312</v>
      </c>
      <c r="C82" s="19">
        <f t="shared" si="2"/>
        <v>145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145</v>
      </c>
      <c r="L82" s="19">
        <v>0</v>
      </c>
      <c r="M82" s="19">
        <v>0</v>
      </c>
      <c r="N82" s="19">
        <v>0</v>
      </c>
      <c r="O82" s="19">
        <v>0</v>
      </c>
    </row>
    <row r="83" spans="1:15" ht="15" customHeight="1" x14ac:dyDescent="0.2">
      <c r="A83" s="25">
        <v>56</v>
      </c>
      <c r="B83" s="25" t="s">
        <v>255</v>
      </c>
      <c r="C83" s="19">
        <f t="shared" si="2"/>
        <v>145</v>
      </c>
      <c r="D83" s="19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5" customHeight="1" x14ac:dyDescent="0.2">
      <c r="A84" s="25">
        <v>56</v>
      </c>
      <c r="B84" s="25" t="s">
        <v>308</v>
      </c>
      <c r="C84" s="19">
        <f t="shared" si="2"/>
        <v>145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145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15" customHeight="1" x14ac:dyDescent="0.2">
      <c r="A85" s="25">
        <v>57</v>
      </c>
      <c r="B85" s="25" t="s">
        <v>325</v>
      </c>
      <c r="C85" s="19">
        <f t="shared" si="2"/>
        <v>130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>130</f>
        <v>130</v>
      </c>
      <c r="O85" s="19">
        <v>0</v>
      </c>
    </row>
    <row r="86" spans="1:15" ht="15" customHeight="1" x14ac:dyDescent="0.2">
      <c r="A86" s="25">
        <v>57</v>
      </c>
      <c r="B86" s="25" t="s">
        <v>311</v>
      </c>
      <c r="C86" s="19">
        <f t="shared" si="2"/>
        <v>130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>130</f>
        <v>130</v>
      </c>
      <c r="L86" s="19">
        <v>0</v>
      </c>
      <c r="M86" s="19">
        <v>0</v>
      </c>
      <c r="N86" s="19">
        <v>0</v>
      </c>
      <c r="O86" s="19">
        <v>0</v>
      </c>
    </row>
    <row r="87" spans="1:15" ht="15" customHeight="1" x14ac:dyDescent="0.2">
      <c r="A87" s="25">
        <v>57</v>
      </c>
      <c r="B87" s="25" t="s">
        <v>256</v>
      </c>
      <c r="C87" s="19">
        <f t="shared" si="2"/>
        <v>130</v>
      </c>
      <c r="D87" s="19">
        <v>130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</row>
    <row r="88" spans="1:15" ht="15" customHeight="1" x14ac:dyDescent="0.2">
      <c r="A88" s="25">
        <v>58</v>
      </c>
      <c r="B88" s="25" t="s">
        <v>269</v>
      </c>
      <c r="C88" s="19">
        <f t="shared" si="2"/>
        <v>115</v>
      </c>
      <c r="D88" s="19">
        <v>0</v>
      </c>
      <c r="E88" s="19">
        <v>0</v>
      </c>
      <c r="F88" s="19">
        <v>115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90" spans="1:15" ht="18.75" customHeight="1" x14ac:dyDescent="0.25">
      <c r="A90" s="44" t="s">
        <v>3</v>
      </c>
      <c r="B90" s="45"/>
      <c r="C90" s="45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.75" customHeight="1" x14ac:dyDescent="0.25">
      <c r="A91" s="46" t="s">
        <v>4</v>
      </c>
      <c r="B91" s="47"/>
      <c r="C91" s="47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8.75" customHeight="1" x14ac:dyDescent="0.25">
      <c r="A92" s="48" t="s">
        <v>5</v>
      </c>
      <c r="B92" s="49"/>
      <c r="C92" s="49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</sheetData>
  <sortState ref="A8:O88">
    <sortCondition descending="1" ref="C8:C88"/>
  </sortState>
  <mergeCells count="9">
    <mergeCell ref="A90:C90"/>
    <mergeCell ref="A91:C91"/>
    <mergeCell ref="A92:C9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50" t="s">
        <v>225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40.5" customHeight="1" x14ac:dyDescent="0.4">
      <c r="A3" s="51" t="s">
        <v>224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15" ht="9.75" customHeight="1" x14ac:dyDescent="0.4">
      <c r="A4" s="51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</row>
    <row r="5" spans="1:15" ht="30" customHeight="1" x14ac:dyDescent="0.4">
      <c r="A5" s="53" t="s">
        <v>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44" t="s">
        <v>3</v>
      </c>
      <c r="B67" s="45"/>
      <c r="C67" s="45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46" t="s">
        <v>4</v>
      </c>
      <c r="B68" s="47"/>
      <c r="C68" s="47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48" t="s">
        <v>5</v>
      </c>
      <c r="B69" s="49"/>
      <c r="C69" s="49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50" t="s">
        <v>164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40.5" customHeight="1" x14ac:dyDescent="0.4">
      <c r="A3" s="51" t="s">
        <v>177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15" ht="9.75" customHeight="1" x14ac:dyDescent="0.4">
      <c r="A4" s="51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</row>
    <row r="5" spans="1:15" ht="30" customHeight="1" x14ac:dyDescent="0.4">
      <c r="A5" s="53" t="s">
        <v>163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44" t="s">
        <v>3</v>
      </c>
      <c r="B33" s="45"/>
      <c r="C33" s="45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46" t="s">
        <v>4</v>
      </c>
      <c r="B34" s="47"/>
      <c r="C34" s="47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48" t="s">
        <v>5</v>
      </c>
      <c r="B35" s="49"/>
      <c r="C35" s="49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50" t="s">
        <v>164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40.5" customHeight="1" x14ac:dyDescent="0.4">
      <c r="A3" s="51" t="s">
        <v>173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15" ht="9.75" customHeight="1" x14ac:dyDescent="0.4">
      <c r="A4" s="51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</row>
    <row r="5" spans="1:15" ht="30" customHeight="1" x14ac:dyDescent="0.4">
      <c r="A5" s="53" t="s">
        <v>163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44" t="s">
        <v>3</v>
      </c>
      <c r="B26" s="45"/>
      <c r="C26" s="45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46" t="s">
        <v>4</v>
      </c>
      <c r="B27" s="47"/>
      <c r="C27" s="47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48" t="s">
        <v>5</v>
      </c>
      <c r="B28" s="49"/>
      <c r="C28" s="49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50" t="s">
        <v>164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40.5" customHeight="1" x14ac:dyDescent="0.4">
      <c r="A3" s="51" t="s">
        <v>168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15" ht="9.75" customHeight="1" x14ac:dyDescent="0.4">
      <c r="A4" s="51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</row>
    <row r="5" spans="1:15" ht="30" customHeight="1" x14ac:dyDescent="0.4">
      <c r="A5" s="53" t="s">
        <v>163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44" t="s">
        <v>3</v>
      </c>
      <c r="B28" s="45"/>
      <c r="C28" s="45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46" t="s">
        <v>4</v>
      </c>
      <c r="B29" s="47"/>
      <c r="C29" s="47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48" t="s">
        <v>5</v>
      </c>
      <c r="B30" s="49"/>
      <c r="C30" s="49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50" t="s">
        <v>152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40.5" customHeight="1" x14ac:dyDescent="0.4">
      <c r="A3" s="51" t="s">
        <v>160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15" ht="9.75" customHeight="1" x14ac:dyDescent="0.4">
      <c r="A4" s="51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</row>
    <row r="5" spans="1:15" ht="30" customHeight="1" x14ac:dyDescent="0.4">
      <c r="A5" s="53" t="s">
        <v>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44" t="s">
        <v>3</v>
      </c>
      <c r="B38" s="45"/>
      <c r="C38" s="45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46" t="s">
        <v>4</v>
      </c>
      <c r="B39" s="47"/>
      <c r="C39" s="47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48" t="s">
        <v>5</v>
      </c>
      <c r="B40" s="49"/>
      <c r="C40" s="49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50" t="s">
        <v>152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40.5" customHeight="1" x14ac:dyDescent="0.4">
      <c r="A3" s="51" t="s">
        <v>156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15" ht="9.75" customHeight="1" x14ac:dyDescent="0.4">
      <c r="A4" s="51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</row>
    <row r="5" spans="1:15" ht="30" customHeight="1" x14ac:dyDescent="0.4">
      <c r="A5" s="53" t="s">
        <v>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44" t="s">
        <v>3</v>
      </c>
      <c r="B44" s="45"/>
      <c r="C44" s="45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46" t="s">
        <v>4</v>
      </c>
      <c r="B45" s="47"/>
      <c r="C45" s="47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48" t="s">
        <v>5</v>
      </c>
      <c r="B46" s="49"/>
      <c r="C46" s="49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50" t="s">
        <v>17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51" t="s">
        <v>135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15" ht="9.75" customHeight="1" x14ac:dyDescent="0.4">
      <c r="A4" s="51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</row>
    <row r="5" spans="1:15" ht="30" customHeight="1" x14ac:dyDescent="0.4">
      <c r="A5" s="53" t="s">
        <v>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44" t="s">
        <v>3</v>
      </c>
      <c r="B48" s="45"/>
      <c r="C48" s="45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46" t="s">
        <v>4</v>
      </c>
      <c r="B49" s="47"/>
      <c r="C49" s="47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48" t="s">
        <v>5</v>
      </c>
      <c r="B50" s="49"/>
      <c r="C50" s="49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</row>
    <row r="63" spans="1:15" x14ac:dyDescent="0.2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</row>
    <row r="64" spans="1:15" ht="36" customHeight="1" x14ac:dyDescent="0.5">
      <c r="A64" s="62" t="s">
        <v>17</v>
      </c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</row>
    <row r="65" spans="1:15" ht="38.25" customHeight="1" x14ac:dyDescent="0.4">
      <c r="A65" s="64" t="s">
        <v>139</v>
      </c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</row>
    <row r="66" spans="1:15" ht="42" customHeight="1" x14ac:dyDescent="0.4">
      <c r="A66" s="66" t="s">
        <v>145</v>
      </c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</row>
    <row r="67" spans="1:15" ht="42" customHeight="1" x14ac:dyDescent="0.4">
      <c r="A67" s="59" t="s">
        <v>140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</row>
    <row r="68" spans="1:15" ht="21" customHeight="1" x14ac:dyDescent="0.4">
      <c r="A68" s="59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55" t="s">
        <v>4</v>
      </c>
      <c r="B83" s="56"/>
      <c r="C83" s="56"/>
      <c r="D83" s="56"/>
    </row>
    <row r="84" spans="1:7" ht="15" x14ac:dyDescent="0.25">
      <c r="A84" s="57" t="s">
        <v>144</v>
      </c>
      <c r="B84" s="58"/>
      <c r="C84" s="58"/>
      <c r="D84" s="58"/>
    </row>
  </sheetData>
  <mergeCells count="17">
    <mergeCell ref="A83:D83"/>
    <mergeCell ref="A84:D84"/>
    <mergeCell ref="A67:O67"/>
    <mergeCell ref="A68:O68"/>
    <mergeCell ref="A62:O63"/>
    <mergeCell ref="A64:O64"/>
    <mergeCell ref="A65:O65"/>
    <mergeCell ref="A66:O66"/>
    <mergeCell ref="A48:C48"/>
    <mergeCell ref="A49:C49"/>
    <mergeCell ref="A50:C5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4-1-26 - 6-30-26 (2026 WSOP)</vt:lpstr>
      <vt:lpstr>6-15-25 - 9-2-25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'2-19-23 - 5-21-23 (16 months)'!Print_Area</vt:lpstr>
      <vt:lpstr>'2-4-24 - 4-27-24 (1 quarter)'!Print_Area</vt:lpstr>
      <vt:lpstr>'4-1-26 - 6-30-26 (2026 WSOP)'!Print_Area</vt:lpstr>
      <vt:lpstr>'5-4-24 - 7-20-24 (2 quarter)'!Print_Area</vt:lpstr>
      <vt:lpstr>'6-15-25 - 9-2-25 (1 quarter)'!Print_Area</vt:lpstr>
      <vt:lpstr>'6-4-23 - 9-10-23 (17 month)'!Print_Area</vt:lpstr>
      <vt:lpstr>'7-27-24 - 10-12-24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2026-04-07T08:33:30Z</cp:lastPrinted>
  <dcterms:created xsi:type="dcterms:W3CDTF">2013-12-12T05:08:35Z</dcterms:created>
  <dcterms:modified xsi:type="dcterms:W3CDTF">2026-06-11T07:27:40Z</dcterms:modified>
</cp:coreProperties>
</file>