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defaultThemeVersion="124226"/>
  <bookViews>
    <workbookView xWindow="-120" yWindow="-120" windowWidth="19440" windowHeight="11040"/>
  </bookViews>
  <sheets>
    <sheet name="6-23-26 - 10-5-26 (20 Year)" sheetId="62" r:id="rId1"/>
    <sheet name="6-15-25 - 9-2-25 (1 quarter)" sheetId="61" state="hidden" r:id="rId2"/>
    <sheet name="12-15-24 - 3-16-25 (1 quarter)" sheetId="60" state="hidden" r:id="rId3"/>
    <sheet name="7-27-24 - 10-12-24 (3 quarter)" sheetId="59" state="hidden" r:id="rId4"/>
    <sheet name="5-4-24 - 7-20-24 (2 quarter)" sheetId="58" state="hidden" r:id="rId5"/>
    <sheet name="2-4-24 - 4-27-24 (1 quarter)" sheetId="57" state="hidden" r:id="rId6"/>
    <sheet name="6-4-23 - 9-10-23 (17 month)" sheetId="56" state="hidden" r:id="rId7"/>
    <sheet name="2-19-23 - 5-21-23 (16 months)" sheetId="55" state="hidden" r:id="rId8"/>
    <sheet name="10-30-22 - 2-12-23 (6 month)" sheetId="54" state="hidden" r:id="rId9"/>
    <sheet name="8-7-22 - 10-23-22 (5 month)" sheetId="53" state="hidden" r:id="rId10"/>
    <sheet name="4-10-22 - 7-31-22 (4 month)" sheetId="52" state="hidden" r:id="rId11"/>
    <sheet name="10-3-21 - 4-3-22 (3 month)" sheetId="51" state="hidden" r:id="rId12"/>
    <sheet name="6-27-21 - 9-26-21 (2 month)" sheetId="50" state="hidden" r:id="rId13"/>
    <sheet name="3-21-21 - 6-20-21 (1 month)" sheetId="49" state="hidden" r:id="rId14"/>
  </sheets>
  <definedNames>
    <definedName name="_xlnm.Print_Area" localSheetId="8">'10-30-22 - 2-12-23 (6 month)'!$A$1:$O$84</definedName>
    <definedName name="_xlnm.Print_Area" localSheetId="2">'12-15-24 - 3-16-25 (1 quarter)'!$A$1:$O$69</definedName>
    <definedName name="_xlnm.Print_Area" localSheetId="7">'2-19-23 - 5-21-23 (16 months)'!$A$1:$O$46</definedName>
    <definedName name="_xlnm.Print_Area" localSheetId="5">'2-4-24 - 4-27-24 (1 quarter)'!$A$1:$O$30</definedName>
    <definedName name="_xlnm.Print_Area" localSheetId="4">'5-4-24 - 7-20-24 (2 quarter)'!$A$1:$O$28</definedName>
    <definedName name="_xlnm.Print_Area" localSheetId="1">'6-15-25 - 9-2-25 (1 quarter)'!$A$1:$O$92</definedName>
    <definedName name="_xlnm.Print_Area" localSheetId="0">'6-23-26 - 10-5-26 (20 Year)'!$A$1:$H$176</definedName>
    <definedName name="_xlnm.Print_Area" localSheetId="6">'6-4-23 - 9-10-23 (17 month)'!$A$1:$O$40</definedName>
    <definedName name="_xlnm.Print_Area" localSheetId="3">'7-27-24 - 10-12-24 (3 quarter)'!$A$1:$O$35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3" i="62" l="1"/>
  <c r="E42" i="62"/>
  <c r="E16" i="62"/>
  <c r="E38" i="62"/>
  <c r="E24" i="62"/>
  <c r="E13" i="62"/>
  <c r="E17" i="62"/>
  <c r="E18" i="62"/>
  <c r="E15" i="62"/>
  <c r="E72" i="62"/>
  <c r="E12" i="62"/>
  <c r="E85" i="62"/>
  <c r="E10" i="62"/>
  <c r="E30" i="62"/>
  <c r="E11" i="62"/>
  <c r="E44" i="62"/>
  <c r="E50" i="62"/>
  <c r="E133" i="62"/>
  <c r="C133" i="62" s="1"/>
  <c r="E29" i="62"/>
  <c r="E97" i="62"/>
  <c r="E70" i="62"/>
  <c r="C70" i="62" s="1"/>
  <c r="E45" i="62"/>
  <c r="E115" i="62"/>
  <c r="E31" i="62"/>
  <c r="E33" i="62"/>
  <c r="E106" i="62"/>
  <c r="E40" i="62"/>
  <c r="E37" i="62"/>
  <c r="E32" i="62"/>
  <c r="E74" i="62"/>
  <c r="C74" i="62" s="1"/>
  <c r="E60" i="62"/>
  <c r="C60" i="62" s="1"/>
  <c r="E35" i="62"/>
  <c r="E172" i="62"/>
  <c r="C172" i="62" s="1"/>
  <c r="E163" i="62"/>
  <c r="C163" i="62" s="1"/>
  <c r="E22" i="62"/>
  <c r="E156" i="62"/>
  <c r="C156" i="62" s="1"/>
  <c r="E28" i="62"/>
  <c r="E53" i="62"/>
  <c r="E27" i="62"/>
  <c r="E48" i="62"/>
  <c r="E20" i="62"/>
  <c r="E142" i="62"/>
  <c r="E135" i="62"/>
  <c r="E161" i="62"/>
  <c r="C161" i="62" s="1"/>
  <c r="E58" i="62"/>
  <c r="E107" i="62"/>
  <c r="E65" i="62"/>
  <c r="E147" i="62"/>
  <c r="C147" i="62" s="1"/>
  <c r="E69" i="62"/>
  <c r="E99" i="62"/>
  <c r="E82" i="62"/>
  <c r="E63" i="62"/>
  <c r="E116" i="62"/>
  <c r="C116" i="62" s="1"/>
  <c r="E109" i="62"/>
  <c r="C109" i="62" s="1"/>
  <c r="E46" i="62"/>
  <c r="E62" i="62"/>
  <c r="E19" i="62"/>
  <c r="E114" i="62"/>
  <c r="E80" i="62"/>
  <c r="E155" i="62"/>
  <c r="C155" i="62" s="1"/>
  <c r="E21" i="62"/>
  <c r="E57" i="62"/>
  <c r="E124" i="62"/>
  <c r="C124" i="62" s="1"/>
  <c r="E104" i="62"/>
  <c r="C104" i="62" s="1"/>
  <c r="E93" i="62"/>
  <c r="E43" i="62"/>
  <c r="E56" i="62"/>
  <c r="E128" i="62"/>
  <c r="E71" i="62"/>
  <c r="E34" i="62"/>
  <c r="E55" i="62"/>
  <c r="E159" i="62"/>
  <c r="C159" i="62" s="1"/>
  <c r="E52" i="62"/>
  <c r="E54" i="62"/>
  <c r="E36" i="62"/>
  <c r="E26" i="62"/>
  <c r="E59" i="62"/>
  <c r="E25" i="62"/>
  <c r="E105" i="62"/>
  <c r="C105" i="62" s="1"/>
  <c r="E150" i="62"/>
  <c r="C150" i="62" s="1"/>
  <c r="E76" i="62"/>
  <c r="E134" i="62"/>
  <c r="C134" i="62" s="1"/>
  <c r="E102" i="62"/>
  <c r="C85" i="62"/>
  <c r="E14" i="62"/>
  <c r="E101" i="62"/>
  <c r="E77" i="62"/>
  <c r="E41" i="62"/>
  <c r="E61" i="62"/>
  <c r="C97" i="62"/>
  <c r="E51" i="62"/>
  <c r="E100" i="62"/>
  <c r="E143" i="62"/>
  <c r="E96" i="62"/>
  <c r="E153" i="62"/>
  <c r="C153" i="62" s="1"/>
  <c r="E151" i="62"/>
  <c r="C151" i="62" s="1"/>
  <c r="C107" i="62"/>
  <c r="E78" i="62"/>
  <c r="E66" i="62"/>
  <c r="E64" i="62"/>
  <c r="E67" i="62"/>
  <c r="E86" i="62"/>
  <c r="C86" i="62" s="1"/>
  <c r="E98" i="62"/>
  <c r="E137" i="62"/>
  <c r="C137" i="62" s="1"/>
  <c r="E39" i="62"/>
  <c r="E170" i="62"/>
  <c r="C170" i="62" s="1"/>
  <c r="E113" i="62"/>
  <c r="E165" i="62"/>
  <c r="C165" i="62" s="1"/>
  <c r="E126" i="62"/>
  <c r="E47" i="62"/>
  <c r="E112" i="62"/>
  <c r="E127" i="62"/>
  <c r="C127" i="62" s="1"/>
  <c r="E89" i="62"/>
  <c r="E68" i="62"/>
  <c r="E95" i="62"/>
  <c r="E49" i="62"/>
  <c r="E125" i="62"/>
  <c r="C125" i="62" s="1"/>
  <c r="E79" i="62"/>
  <c r="E145" i="62"/>
  <c r="C145" i="62" s="1"/>
  <c r="E169" i="62"/>
  <c r="C169" i="62" s="1"/>
  <c r="E75" i="62"/>
  <c r="C115" i="62" l="1"/>
  <c r="E119" i="62"/>
  <c r="C119" i="62" s="1"/>
  <c r="E73" i="62"/>
  <c r="C101" i="62" l="1"/>
  <c r="C102" i="62"/>
  <c r="C77" i="62"/>
  <c r="E130" i="62"/>
  <c r="C130" i="62" s="1"/>
  <c r="E94" i="62"/>
  <c r="E168" i="62"/>
  <c r="C168" i="62" s="1"/>
  <c r="E92" i="62"/>
  <c r="C92" i="62" s="1"/>
  <c r="C113" i="62"/>
  <c r="E149" i="62"/>
  <c r="C149" i="62" s="1"/>
  <c r="C114" i="62"/>
  <c r="E139" i="62"/>
  <c r="C139" i="62" s="1"/>
  <c r="C68" i="62"/>
  <c r="E120" i="62"/>
  <c r="C120" i="62" s="1"/>
  <c r="E173" i="62"/>
  <c r="C173" i="62" s="1"/>
  <c r="C135" i="62"/>
  <c r="C96" i="62"/>
  <c r="E146" i="62"/>
  <c r="C146" i="62" s="1"/>
  <c r="E91" i="62"/>
  <c r="C69" i="62"/>
  <c r="E117" i="62"/>
  <c r="C117" i="62" s="1"/>
  <c r="E110" i="62"/>
  <c r="C110" i="62" s="1"/>
  <c r="E103" i="62"/>
  <c r="C103" i="62" s="1"/>
  <c r="E90" i="62"/>
  <c r="C90" i="62" s="1"/>
  <c r="E140" i="62"/>
  <c r="C140" i="62" s="1"/>
  <c r="E136" i="62"/>
  <c r="C136" i="62" s="1"/>
  <c r="C43" i="62"/>
  <c r="C75" i="62"/>
  <c r="E158" i="62"/>
  <c r="C158" i="62" s="1"/>
  <c r="E152" i="62"/>
  <c r="C152" i="62" s="1"/>
  <c r="E123" i="62"/>
  <c r="C123" i="62" s="1"/>
  <c r="C34" i="62"/>
  <c r="E138" i="62"/>
  <c r="C138" i="62" s="1"/>
  <c r="E131" i="62"/>
  <c r="C131" i="62" s="1"/>
  <c r="E122" i="62"/>
  <c r="C122" i="62" s="1"/>
  <c r="C143" i="62"/>
  <c r="C142" i="62"/>
  <c r="E108" i="62"/>
  <c r="E141" i="62"/>
  <c r="C141" i="62" s="1"/>
  <c r="E111" i="62"/>
  <c r="C111" i="62" s="1"/>
  <c r="E88" i="62"/>
  <c r="C88" i="62" s="1"/>
  <c r="E162" i="62"/>
  <c r="C162" i="62" s="1"/>
  <c r="C126" i="62"/>
  <c r="E157" i="62"/>
  <c r="C157" i="62" s="1"/>
  <c r="C89" i="62"/>
  <c r="E129" i="62"/>
  <c r="C129" i="62" s="1"/>
  <c r="E121" i="62"/>
  <c r="C121" i="62" s="1"/>
  <c r="E83" i="62"/>
  <c r="C95" i="62"/>
  <c r="C93" i="62"/>
  <c r="E118" i="62"/>
  <c r="C118" i="62" s="1"/>
  <c r="D106" i="62"/>
  <c r="C106" i="62" s="1"/>
  <c r="D31" i="62"/>
  <c r="D59" i="62"/>
  <c r="D54" i="62"/>
  <c r="D21" i="62"/>
  <c r="D35" i="62"/>
  <c r="D37" i="62"/>
  <c r="D40" i="62"/>
  <c r="D36" i="62"/>
  <c r="D50" i="62"/>
  <c r="D25" i="62"/>
  <c r="D33" i="62"/>
  <c r="D29" i="62"/>
  <c r="D32" i="62"/>
  <c r="D81" i="62"/>
  <c r="C81" i="62" s="1"/>
  <c r="D26" i="62"/>
  <c r="D18" i="62"/>
  <c r="D164" i="62"/>
  <c r="C164" i="62" s="1"/>
  <c r="D12" i="62"/>
  <c r="D10" i="62"/>
  <c r="D56" i="62"/>
  <c r="D11" i="62"/>
  <c r="D24" i="62"/>
  <c r="D20" i="62"/>
  <c r="D15" i="62"/>
  <c r="D42" i="62"/>
  <c r="D27" i="62"/>
  <c r="D49" i="62"/>
  <c r="D71" i="62"/>
  <c r="D38" i="62"/>
  <c r="D30" i="62"/>
  <c r="D14" i="62"/>
  <c r="D28" i="62"/>
  <c r="D39" i="62"/>
  <c r="D17" i="62"/>
  <c r="D73" i="62"/>
  <c r="D48" i="62"/>
  <c r="D19" i="62"/>
  <c r="D79" i="62"/>
  <c r="D55" i="62"/>
  <c r="C55" i="62" s="1"/>
  <c r="D45" i="62"/>
  <c r="D61" i="62"/>
  <c r="D52" i="62"/>
  <c r="C52" i="62" s="1"/>
  <c r="D166" i="62"/>
  <c r="C166" i="62" s="1"/>
  <c r="D53" i="62"/>
  <c r="C53" i="62" s="1"/>
  <c r="D23" i="62"/>
  <c r="D13" i="62"/>
  <c r="D22" i="62"/>
  <c r="D171" i="62"/>
  <c r="C171" i="62" s="1"/>
  <c r="D72" i="62"/>
  <c r="D57" i="62"/>
  <c r="D44" i="62"/>
  <c r="D16" i="62"/>
  <c r="D83" i="62"/>
  <c r="D76" i="62"/>
  <c r="C76" i="62" s="1"/>
  <c r="D144" i="62"/>
  <c r="C144" i="62" s="1"/>
  <c r="D91" i="62"/>
  <c r="D62" i="62"/>
  <c r="D46" i="62"/>
  <c r="D66" i="62"/>
  <c r="D99" i="62"/>
  <c r="C99" i="62" s="1"/>
  <c r="D58" i="62"/>
  <c r="D108" i="62"/>
  <c r="D65" i="62"/>
  <c r="D64" i="62"/>
  <c r="D82" i="62"/>
  <c r="C82" i="62" s="1"/>
  <c r="D100" i="62"/>
  <c r="C100" i="62" s="1"/>
  <c r="D63" i="62"/>
  <c r="D67" i="62"/>
  <c r="D78" i="62"/>
  <c r="C78" i="62" s="1"/>
  <c r="D87" i="62"/>
  <c r="C87" i="62" s="1"/>
  <c r="D94" i="62"/>
  <c r="D112" i="62"/>
  <c r="C112" i="62" s="1"/>
  <c r="D160" i="62"/>
  <c r="C160" i="62" s="1"/>
  <c r="D148" i="62"/>
  <c r="C148" i="62" s="1"/>
  <c r="D80" i="62"/>
  <c r="C80" i="62" s="1"/>
  <c r="D47" i="62"/>
  <c r="D41" i="62"/>
  <c r="D84" i="62"/>
  <c r="C84" i="62" s="1"/>
  <c r="D167" i="62"/>
  <c r="D128" i="62"/>
  <c r="D98" i="62"/>
  <c r="D154" i="62"/>
  <c r="D51" i="62"/>
  <c r="D132" i="62"/>
  <c r="C72" i="62" l="1"/>
  <c r="C41" i="62"/>
  <c r="C63" i="62"/>
  <c r="C71" i="62"/>
  <c r="C45" i="62"/>
  <c r="C59" i="62"/>
  <c r="C108" i="62"/>
  <c r="C73" i="62"/>
  <c r="C62" i="62"/>
  <c r="C47" i="62"/>
  <c r="C56" i="62"/>
  <c r="C65" i="62"/>
  <c r="C20" i="62"/>
  <c r="C66" i="62"/>
  <c r="C22" i="62"/>
  <c r="C10" i="62"/>
  <c r="C94" i="62"/>
  <c r="C23" i="62"/>
  <c r="C58" i="62"/>
  <c r="C67" i="62"/>
  <c r="C91" i="62"/>
  <c r="C64" i="62"/>
  <c r="C46" i="62"/>
  <c r="C19" i="62"/>
  <c r="C57" i="62"/>
  <c r="C29" i="62"/>
  <c r="C49" i="62"/>
  <c r="C83" i="62"/>
  <c r="C39" i="62"/>
  <c r="C18" i="62"/>
  <c r="C21" i="62"/>
  <c r="C17" i="62"/>
  <c r="C14" i="62"/>
  <c r="C24" i="62"/>
  <c r="C28" i="62"/>
  <c r="C79" i="62"/>
  <c r="C30" i="62" l="1"/>
  <c r="C167" i="62"/>
  <c r="C13" i="62" l="1"/>
  <c r="C51" i="62"/>
  <c r="C44" i="62"/>
  <c r="C31" i="62"/>
  <c r="C98" i="62"/>
  <c r="C27" i="62"/>
  <c r="C128" i="62" l="1"/>
  <c r="C37" i="62"/>
  <c r="C132" i="62"/>
  <c r="C35" i="62"/>
  <c r="C25" i="62"/>
  <c r="C12" i="62" l="1"/>
  <c r="C16" i="62"/>
  <c r="C42" i="62"/>
  <c r="C48" i="62"/>
  <c r="C15" i="62"/>
  <c r="C50" i="62"/>
  <c r="C54" i="62"/>
  <c r="C154" i="62"/>
  <c r="C61" i="62"/>
  <c r="C33" i="62"/>
  <c r="C32" i="62"/>
  <c r="C26" i="62"/>
  <c r="C36" i="62"/>
  <c r="C40" i="62"/>
  <c r="C11" i="62"/>
  <c r="C38" i="62"/>
  <c r="O13" i="61" l="1"/>
  <c r="O8" i="61"/>
  <c r="O22" i="61" l="1"/>
  <c r="O28" i="61"/>
  <c r="O30" i="61"/>
  <c r="O52" i="61"/>
  <c r="O38" i="61"/>
  <c r="O10" i="61"/>
  <c r="O16" i="61"/>
  <c r="O9" i="61"/>
  <c r="O25" i="61"/>
  <c r="C63" i="61"/>
  <c r="C53" i="61"/>
  <c r="O14" i="61"/>
  <c r="O18" i="61" l="1"/>
  <c r="O19" i="61"/>
  <c r="O29" i="61"/>
  <c r="O59" i="61"/>
  <c r="O44" i="61"/>
  <c r="O17" i="61"/>
  <c r="O12" i="61"/>
  <c r="O27" i="61"/>
  <c r="N22" i="61" l="1"/>
  <c r="C59" i="61"/>
  <c r="N16" i="61"/>
  <c r="N9" i="61"/>
  <c r="C52" i="61"/>
  <c r="N10" i="61"/>
  <c r="C44" i="61"/>
  <c r="N8" i="61"/>
  <c r="N13" i="61"/>
  <c r="N12" i="61"/>
  <c r="N20" i="61"/>
  <c r="O15" i="61" l="1"/>
  <c r="O36" i="61"/>
  <c r="O20" i="61"/>
  <c r="O11" i="61"/>
  <c r="O39" i="61"/>
  <c r="N85" i="61" l="1"/>
  <c r="C85" i="61" s="1"/>
  <c r="N14" i="61"/>
  <c r="N69" i="61"/>
  <c r="C69" i="61" s="1"/>
  <c r="N70" i="61"/>
  <c r="N15" i="61"/>
  <c r="N32" i="61"/>
  <c r="N36" i="61"/>
  <c r="N11" i="61"/>
  <c r="M35" i="61" l="1"/>
  <c r="M14" i="61"/>
  <c r="M23" i="61"/>
  <c r="M12" i="61"/>
  <c r="L26" i="61"/>
  <c r="M13" i="61"/>
  <c r="M22" i="61"/>
  <c r="M9" i="61"/>
  <c r="M8" i="61"/>
  <c r="M16" i="61"/>
  <c r="M24" i="61" l="1"/>
  <c r="M32" i="61"/>
  <c r="C71" i="61"/>
  <c r="M62" i="61"/>
  <c r="C62" i="61" s="1"/>
  <c r="M56" i="61"/>
  <c r="C56" i="61" s="1"/>
  <c r="M20" i="61"/>
  <c r="L19" i="61"/>
  <c r="L9" i="61"/>
  <c r="C36" i="61"/>
  <c r="L54" i="61"/>
  <c r="C54" i="61" s="1"/>
  <c r="L11" i="61"/>
  <c r="L25" i="61"/>
  <c r="L12" i="61"/>
  <c r="L15" i="61"/>
  <c r="L51" i="61"/>
  <c r="C51" i="61" s="1"/>
  <c r="L10" i="61"/>
  <c r="L14" i="61"/>
  <c r="L17" i="61"/>
  <c r="L8" i="61"/>
  <c r="L28" i="61"/>
  <c r="L18" i="61"/>
  <c r="L22" i="61"/>
  <c r="L47" i="61"/>
  <c r="C47" i="61" s="1"/>
  <c r="L23" i="61"/>
  <c r="L68" i="61"/>
  <c r="C68" i="61" s="1"/>
  <c r="L32" i="61"/>
  <c r="L35" i="61"/>
  <c r="C35" i="61" s="1"/>
  <c r="K13" i="61" l="1"/>
  <c r="C82" i="61"/>
  <c r="K18" i="61"/>
  <c r="K12" i="61"/>
  <c r="K16" i="61"/>
  <c r="K10" i="61"/>
  <c r="K15" i="61"/>
  <c r="K8" i="61"/>
  <c r="K11" i="61"/>
  <c r="K24" i="61"/>
  <c r="K28" i="61" l="1"/>
  <c r="K86" i="61"/>
  <c r="C86" i="61" s="1"/>
  <c r="K32" i="61"/>
  <c r="C32" i="61" s="1"/>
  <c r="K20" i="61"/>
  <c r="K50" i="61"/>
  <c r="J15" i="61"/>
  <c r="C50" i="61"/>
  <c r="J16" i="61"/>
  <c r="C84" i="61"/>
  <c r="J46" i="61"/>
  <c r="C46" i="61" s="1"/>
  <c r="J13" i="61"/>
  <c r="J8" i="61"/>
  <c r="J12" i="61"/>
  <c r="J28" i="61"/>
  <c r="J14" i="61"/>
  <c r="J11" i="61"/>
  <c r="J61" i="61"/>
  <c r="C61" i="61" s="1"/>
  <c r="J57" i="61"/>
  <c r="C57" i="61" s="1"/>
  <c r="J20" i="61"/>
  <c r="J45" i="61"/>
  <c r="C45" i="61" s="1"/>
  <c r="J70" i="61"/>
  <c r="C70" i="61" s="1"/>
  <c r="J33" i="61"/>
  <c r="J18" i="61"/>
  <c r="J10" i="61"/>
  <c r="J22" i="61"/>
  <c r="J49" i="61"/>
  <c r="C49" i="61" s="1"/>
  <c r="I16" i="61"/>
  <c r="I40" i="61"/>
  <c r="C81" i="61"/>
  <c r="I14" i="61"/>
  <c r="I10" i="61"/>
  <c r="C30" i="61"/>
  <c r="I34" i="61"/>
  <c r="C66" i="61"/>
  <c r="I21" i="61"/>
  <c r="I18" i="61"/>
  <c r="I12" i="61"/>
  <c r="I9" i="61"/>
  <c r="C20" i="61" l="1"/>
  <c r="I22" i="61"/>
  <c r="I15" i="61"/>
  <c r="C31" i="61"/>
  <c r="C12" i="61"/>
  <c r="C14" i="61"/>
  <c r="I23" i="61"/>
  <c r="I8" i="61"/>
  <c r="C58" i="61"/>
  <c r="I13" i="61"/>
  <c r="C38" i="61" l="1"/>
  <c r="H10" i="61"/>
  <c r="H15" i="61"/>
  <c r="H9" i="61"/>
  <c r="H23" i="61"/>
  <c r="H8" i="61"/>
  <c r="H24" i="61"/>
  <c r="H16" i="61"/>
  <c r="H11" i="61"/>
  <c r="H21" i="61"/>
  <c r="H18" i="61"/>
  <c r="H22" i="61" l="1"/>
  <c r="C22" i="61" s="1"/>
  <c r="H17" i="61"/>
  <c r="H40" i="61"/>
  <c r="C40" i="61" s="1"/>
  <c r="H28" i="61"/>
  <c r="C28" i="61" s="1"/>
  <c r="H33" i="61"/>
  <c r="H27" i="61"/>
  <c r="G29" i="61"/>
  <c r="C29" i="61" s="1"/>
  <c r="C18" i="61"/>
  <c r="C16" i="61"/>
  <c r="G13" i="61"/>
  <c r="C76" i="61"/>
  <c r="C25" i="61"/>
  <c r="C19" i="61"/>
  <c r="C55" i="61"/>
  <c r="G60" i="61"/>
  <c r="C60" i="61" s="1"/>
  <c r="G79" i="61"/>
  <c r="C79" i="61" s="1"/>
  <c r="G77" i="61"/>
  <c r="C77" i="61" s="1"/>
  <c r="G42" i="61"/>
  <c r="G8" i="61"/>
  <c r="G73" i="61"/>
  <c r="C73" i="61" s="1"/>
  <c r="G43" i="61"/>
  <c r="C43" i="61" s="1"/>
  <c r="G67" i="61"/>
  <c r="C67" i="61" s="1"/>
  <c r="G64" i="61"/>
  <c r="C64" i="61" s="1"/>
  <c r="G39" i="61"/>
  <c r="C39" i="61" s="1"/>
  <c r="G27" i="61"/>
  <c r="G37" i="61"/>
  <c r="G17" i="61"/>
  <c r="C17" i="61" s="1"/>
  <c r="C88" i="61"/>
  <c r="C80" i="61"/>
  <c r="C11" i="61"/>
  <c r="C15" i="61"/>
  <c r="C75" i="61"/>
  <c r="C72" i="61"/>
  <c r="C26" i="61"/>
  <c r="C27" i="61" l="1"/>
  <c r="C24" i="61"/>
  <c r="C65" i="61"/>
  <c r="C42" i="61"/>
  <c r="C87" i="61" l="1"/>
  <c r="C83" i="61"/>
  <c r="C78" i="61"/>
  <c r="C41" i="61"/>
  <c r="C13" i="61"/>
  <c r="C37" i="61"/>
  <c r="C48" i="61" l="1"/>
  <c r="C8" i="61" l="1"/>
  <c r="C74" i="61"/>
  <c r="C21" i="61"/>
  <c r="C33" i="61"/>
  <c r="C9" i="61" l="1"/>
  <c r="C34" i="61"/>
  <c r="C10" i="61"/>
  <c r="C23" i="61"/>
  <c r="C65" i="60" l="1"/>
  <c r="C60" i="60"/>
  <c r="C52" i="60"/>
  <c r="C46" i="60"/>
  <c r="C26" i="60"/>
  <c r="C27" i="60"/>
  <c r="C32" i="60" l="1"/>
  <c r="C58" i="60"/>
  <c r="C21" i="60"/>
  <c r="C41" i="60"/>
  <c r="C53" i="60"/>
  <c r="C42" i="60"/>
  <c r="C39" i="60"/>
  <c r="C24" i="60"/>
  <c r="C45" i="60" l="1"/>
  <c r="C22" i="60"/>
  <c r="C16" i="60"/>
  <c r="C30" i="60"/>
  <c r="C51" i="60"/>
  <c r="C37" i="60" l="1"/>
  <c r="C40" i="60"/>
  <c r="C62" i="60"/>
  <c r="C43" i="60"/>
  <c r="C28" i="60"/>
  <c r="C35" i="60"/>
  <c r="C33" i="60"/>
  <c r="C50" i="60" l="1"/>
  <c r="C54" i="60" l="1"/>
  <c r="C9" i="60"/>
  <c r="C49" i="60"/>
  <c r="C44" i="60"/>
  <c r="C64" i="60" l="1"/>
  <c r="C63" i="60"/>
  <c r="C61" i="60"/>
  <c r="C59" i="60"/>
  <c r="C57" i="60"/>
  <c r="C20" i="60"/>
  <c r="C25" i="60"/>
  <c r="C10" i="60"/>
  <c r="C36" i="60"/>
  <c r="C56" i="60" l="1"/>
  <c r="C15" i="60"/>
  <c r="C48" i="60"/>
  <c r="C12" i="60"/>
  <c r="C47" i="60" l="1"/>
  <c r="C23" i="60"/>
  <c r="C17" i="60"/>
  <c r="C29" i="60"/>
  <c r="C55" i="60" l="1"/>
  <c r="C11" i="60"/>
  <c r="C34" i="60"/>
  <c r="C14" i="60"/>
  <c r="C18" i="60"/>
  <c r="C19" i="60"/>
  <c r="C8" i="60"/>
  <c r="C38" i="60"/>
  <c r="C13" i="60"/>
  <c r="C31" i="60"/>
  <c r="C30" i="59" l="1"/>
  <c r="C29" i="59"/>
  <c r="C28" i="59"/>
  <c r="C16" i="59" l="1"/>
  <c r="C13" i="59"/>
  <c r="C24" i="59" l="1"/>
  <c r="C11" i="59"/>
  <c r="C14" i="59" l="1"/>
  <c r="C26" i="59"/>
  <c r="C22" i="59"/>
  <c r="C17" i="59"/>
  <c r="C20" i="59" l="1"/>
  <c r="C23" i="59"/>
  <c r="C19" i="59"/>
  <c r="C18" i="59" l="1"/>
  <c r="C12" i="59"/>
  <c r="C15" i="59"/>
  <c r="C21" i="59"/>
  <c r="C25" i="59"/>
  <c r="C27" i="59"/>
  <c r="C31" i="59"/>
  <c r="C9" i="59"/>
  <c r="C8" i="59"/>
  <c r="C10" i="59"/>
  <c r="C19" i="58" l="1"/>
  <c r="C24" i="58" l="1"/>
  <c r="C21" i="58" l="1"/>
  <c r="C18" i="58" l="1"/>
  <c r="C23" i="58" l="1"/>
  <c r="C20" i="58" l="1"/>
  <c r="C9" i="58"/>
  <c r="C22" i="58"/>
  <c r="C17" i="58"/>
  <c r="C14" i="58"/>
  <c r="C15" i="58"/>
  <c r="C12" i="58"/>
  <c r="C16" i="58"/>
  <c r="C13" i="58"/>
  <c r="C10" i="58"/>
  <c r="C11" i="58"/>
  <c r="C8" i="58"/>
  <c r="C22" i="57" l="1"/>
  <c r="C25" i="57"/>
  <c r="C24" i="57"/>
  <c r="C18" i="57"/>
  <c r="C15" i="57"/>
  <c r="C11" i="57"/>
  <c r="C26" i="57"/>
  <c r="C17" i="57"/>
  <c r="C12" i="57"/>
  <c r="C23" i="57"/>
  <c r="C21" i="57"/>
  <c r="C9" i="57"/>
  <c r="C10" i="57"/>
  <c r="C19" i="57"/>
  <c r="C16" i="57"/>
  <c r="C20" i="57"/>
  <c r="C14" i="57"/>
  <c r="C13" i="57"/>
  <c r="C8" i="57"/>
  <c r="C34" i="56"/>
  <c r="C36" i="56"/>
  <c r="C29" i="56"/>
  <c r="C30" i="56"/>
  <c r="C31" i="56"/>
  <c r="C35" i="56"/>
  <c r="C23" i="56"/>
  <c r="C33" i="56"/>
  <c r="C32" i="56"/>
  <c r="C28" i="56"/>
  <c r="C26" i="56"/>
  <c r="C27" i="56"/>
  <c r="C19" i="56"/>
  <c r="C22" i="56"/>
  <c r="C14" i="56"/>
  <c r="C24" i="56"/>
  <c r="C17" i="56"/>
  <c r="C12" i="56"/>
  <c r="C21" i="56"/>
  <c r="C11" i="56"/>
  <c r="C20" i="56"/>
  <c r="C18" i="56"/>
  <c r="C16" i="56"/>
  <c r="C15" i="56"/>
  <c r="C25" i="56"/>
  <c r="C13" i="56"/>
  <c r="C10" i="56"/>
  <c r="C9" i="56"/>
  <c r="C8" i="56"/>
  <c r="C40" i="55"/>
  <c r="C28" i="55"/>
  <c r="C36" i="55"/>
  <c r="C42" i="55"/>
  <c r="C26" i="55"/>
  <c r="C38" i="55"/>
  <c r="C39" i="55"/>
  <c r="C31" i="55"/>
  <c r="C30" i="55"/>
  <c r="C17" i="55"/>
  <c r="C19" i="55"/>
  <c r="C37" i="55"/>
  <c r="C33" i="55"/>
  <c r="C11" i="55"/>
  <c r="C21" i="55"/>
  <c r="C23" i="55"/>
  <c r="C20" i="55"/>
  <c r="C24" i="55"/>
  <c r="C18" i="55"/>
  <c r="C27" i="55"/>
  <c r="C32" i="55"/>
  <c r="C15" i="55"/>
  <c r="C35" i="55"/>
  <c r="C13" i="55"/>
  <c r="C34" i="55"/>
  <c r="C22" i="55"/>
  <c r="C41" i="55"/>
  <c r="C29" i="55"/>
  <c r="C16" i="55"/>
  <c r="C9" i="55"/>
  <c r="C8" i="55"/>
  <c r="C14" i="55"/>
  <c r="C10" i="55"/>
  <c r="C25" i="55"/>
  <c r="C12" i="55"/>
  <c r="C70" i="54"/>
  <c r="C73" i="54"/>
  <c r="C40" i="54"/>
  <c r="C36" i="54"/>
  <c r="C80" i="54"/>
  <c r="C45" i="54"/>
  <c r="C32" i="54"/>
  <c r="C34" i="54"/>
  <c r="C44" i="54"/>
  <c r="C71" i="54"/>
  <c r="C74" i="54"/>
  <c r="C78" i="54"/>
  <c r="C77" i="54"/>
  <c r="C76" i="54"/>
  <c r="C81" i="54"/>
  <c r="C72" i="54"/>
  <c r="C75" i="54"/>
  <c r="C79" i="54"/>
  <c r="C39" i="54"/>
  <c r="C43" i="54"/>
  <c r="C41" i="54"/>
  <c r="C22" i="54"/>
  <c r="C18" i="54"/>
  <c r="C35" i="54"/>
  <c r="C33" i="54"/>
  <c r="C14" i="54"/>
  <c r="C25" i="54"/>
  <c r="C37" i="54"/>
  <c r="C12" i="54"/>
  <c r="C29" i="54"/>
  <c r="C15" i="54"/>
  <c r="C21" i="54"/>
  <c r="C46" i="54"/>
  <c r="C23" i="54"/>
  <c r="C30" i="54"/>
  <c r="C42" i="54"/>
  <c r="C31" i="54"/>
  <c r="C28" i="54"/>
  <c r="C27" i="54"/>
  <c r="C16" i="54"/>
  <c r="C17" i="54"/>
  <c r="C11" i="54"/>
  <c r="C9" i="54"/>
  <c r="C8" i="54"/>
  <c r="C13" i="54"/>
  <c r="C24" i="54"/>
  <c r="C19" i="54"/>
  <c r="C10" i="54"/>
  <c r="C38" i="54"/>
  <c r="C26" i="54"/>
  <c r="C20" i="54"/>
  <c r="C34" i="53"/>
  <c r="C33" i="53"/>
  <c r="C45" i="53"/>
  <c r="C42" i="53"/>
  <c r="C49" i="53"/>
  <c r="C46" i="53"/>
  <c r="C44" i="53"/>
  <c r="C47" i="53"/>
  <c r="C36" i="53"/>
  <c r="C29" i="53"/>
  <c r="C18" i="53"/>
  <c r="C30" i="53"/>
  <c r="C32" i="53"/>
  <c r="C38" i="53"/>
  <c r="C43" i="53"/>
  <c r="C26" i="53"/>
  <c r="C40" i="53"/>
  <c r="C39" i="53"/>
  <c r="C31" i="53"/>
  <c r="C10" i="53"/>
  <c r="C41" i="53"/>
  <c r="C12" i="53"/>
  <c r="C35" i="53"/>
  <c r="C23" i="53"/>
  <c r="C9" i="53"/>
  <c r="C48" i="53"/>
  <c r="C20" i="53"/>
  <c r="C17" i="53"/>
  <c r="C15" i="53"/>
  <c r="C22" i="53"/>
  <c r="C27" i="53"/>
  <c r="C21" i="53"/>
  <c r="C16" i="53"/>
  <c r="C24" i="53"/>
  <c r="C19" i="53"/>
  <c r="C37" i="53"/>
  <c r="C13" i="53"/>
  <c r="C14" i="53"/>
  <c r="C25" i="53"/>
  <c r="C28" i="53"/>
  <c r="C11" i="53"/>
  <c r="C8" i="53"/>
  <c r="C31" i="52"/>
  <c r="C50" i="52"/>
  <c r="C48" i="52"/>
  <c r="C25" i="52"/>
  <c r="C28" i="52"/>
  <c r="C9" i="52"/>
  <c r="C8" i="52"/>
  <c r="C10" i="52"/>
  <c r="C11" i="52"/>
  <c r="C12" i="52"/>
  <c r="C13" i="52"/>
  <c r="C14" i="52"/>
  <c r="C15" i="52"/>
  <c r="C20" i="52"/>
  <c r="C17" i="52"/>
  <c r="C22" i="52"/>
  <c r="C16" i="52"/>
  <c r="C23" i="52"/>
  <c r="C18" i="52"/>
  <c r="C26" i="52"/>
  <c r="C27" i="52"/>
  <c r="C19" i="52"/>
  <c r="C24" i="52"/>
  <c r="C21" i="52"/>
  <c r="C30" i="52"/>
  <c r="C32" i="52"/>
  <c r="C33" i="52"/>
  <c r="C34" i="52"/>
  <c r="C35" i="52"/>
  <c r="C36" i="52"/>
  <c r="C37" i="52"/>
  <c r="C38" i="52"/>
  <c r="C29" i="52"/>
  <c r="C39" i="52"/>
  <c r="C40" i="52"/>
  <c r="C41" i="52"/>
  <c r="C42" i="52"/>
  <c r="C43" i="52"/>
  <c r="C44" i="52"/>
  <c r="C45" i="52"/>
  <c r="C46" i="52"/>
  <c r="C47" i="52"/>
  <c r="C49" i="52"/>
  <c r="C38" i="51"/>
  <c r="C35" i="51"/>
  <c r="C24" i="51"/>
  <c r="C10" i="51"/>
  <c r="C12" i="51"/>
  <c r="C33" i="51"/>
  <c r="C31" i="51"/>
  <c r="C41" i="51"/>
  <c r="C37" i="51"/>
  <c r="C17" i="51"/>
  <c r="C15" i="51"/>
  <c r="C30" i="51"/>
  <c r="C9" i="51"/>
  <c r="C16" i="51"/>
  <c r="C14" i="51"/>
  <c r="C34" i="51"/>
  <c r="C18" i="51"/>
  <c r="C21" i="51"/>
  <c r="C26" i="51"/>
  <c r="C39" i="51"/>
  <c r="C8" i="51"/>
  <c r="C25" i="51"/>
  <c r="C23" i="51"/>
  <c r="C19" i="51"/>
  <c r="C22" i="51"/>
  <c r="C28" i="51"/>
  <c r="C36" i="51"/>
  <c r="C20" i="51"/>
  <c r="C32" i="51"/>
  <c r="C29" i="51"/>
  <c r="C13" i="51"/>
  <c r="C11" i="51"/>
  <c r="C40" i="51"/>
  <c r="E27" i="51"/>
  <c r="C27" i="51" s="1"/>
  <c r="C43" i="50"/>
  <c r="C39" i="50"/>
  <c r="C38" i="50"/>
  <c r="C37" i="50"/>
  <c r="C21" i="50"/>
  <c r="C41" i="50"/>
  <c r="C44" i="50"/>
  <c r="C23" i="50"/>
  <c r="C25" i="50"/>
  <c r="C26" i="50"/>
  <c r="C36" i="50"/>
  <c r="C22" i="50"/>
  <c r="C17" i="50"/>
  <c r="C33" i="50"/>
  <c r="C15" i="50"/>
  <c r="C28" i="50"/>
  <c r="C42" i="50"/>
  <c r="C27" i="50"/>
  <c r="C32" i="50"/>
  <c r="C30" i="50"/>
  <c r="C40" i="50"/>
  <c r="C10" i="50"/>
  <c r="C24" i="50"/>
  <c r="C35" i="50"/>
  <c r="C14" i="50"/>
  <c r="C31" i="50"/>
  <c r="C18" i="50"/>
  <c r="C12" i="50"/>
  <c r="C29" i="50"/>
  <c r="C19" i="50"/>
  <c r="C34" i="50"/>
  <c r="C11" i="50"/>
  <c r="C13" i="50"/>
  <c r="C45" i="50"/>
  <c r="C16" i="50"/>
  <c r="C9" i="50"/>
  <c r="C20" i="50"/>
  <c r="C8" i="50"/>
  <c r="C36" i="49"/>
  <c r="C28" i="49"/>
  <c r="C38" i="49"/>
  <c r="C46" i="49"/>
  <c r="C45" i="49"/>
  <c r="C44" i="49"/>
  <c r="C43" i="49"/>
  <c r="C42" i="49"/>
  <c r="C41" i="49"/>
  <c r="C40" i="49"/>
  <c r="C39" i="49"/>
  <c r="C37" i="49"/>
  <c r="C35" i="49"/>
  <c r="C34" i="49"/>
  <c r="C33" i="49"/>
  <c r="C22" i="49"/>
  <c r="C32" i="49"/>
  <c r="C31" i="49"/>
  <c r="C30" i="49"/>
  <c r="C29" i="49"/>
  <c r="C27" i="49"/>
  <c r="C26" i="49"/>
  <c r="C20" i="49"/>
  <c r="C17" i="49"/>
  <c r="C25" i="49"/>
  <c r="C19" i="49"/>
  <c r="C24" i="49"/>
  <c r="C23" i="49"/>
  <c r="C21" i="49"/>
  <c r="C18" i="49"/>
  <c r="C15" i="49"/>
  <c r="C14" i="49"/>
  <c r="C12" i="49"/>
  <c r="C11" i="49"/>
  <c r="C16" i="49"/>
  <c r="C13" i="49"/>
  <c r="C10" i="49"/>
  <c r="C9" i="49"/>
  <c r="C8" i="49"/>
</calcChain>
</file>

<file path=xl/sharedStrings.xml><?xml version="1.0" encoding="utf-8"?>
<sst xmlns="http://schemas.openxmlformats.org/spreadsheetml/2006/main" count="824" uniqueCount="483">
  <si>
    <t>PLAYER NAME</t>
  </si>
  <si>
    <t>RANK</t>
  </si>
  <si>
    <t>TOTAL</t>
  </si>
  <si>
    <t>TOP 32 QUALIFIER'S</t>
  </si>
  <si>
    <t>TOP 10 POINT LEADERS</t>
  </si>
  <si>
    <t>TOP 10 SUB'S</t>
  </si>
  <si>
    <t>Cadenhead, Kenneth</t>
  </si>
  <si>
    <t>Butler, Amanda</t>
  </si>
  <si>
    <t>Deanda, Marissa</t>
  </si>
  <si>
    <t>$250 CASH PRIZE</t>
  </si>
  <si>
    <t>Culpepper, Scott</t>
  </si>
  <si>
    <t>Westerhaus, Hailey</t>
  </si>
  <si>
    <t>Deanda, Blake</t>
  </si>
  <si>
    <t>Waldie, Karen</t>
  </si>
  <si>
    <t>Robinson, Andy</t>
  </si>
  <si>
    <t>Stovall, Tambra</t>
  </si>
  <si>
    <t>Johnson, Barry</t>
  </si>
  <si>
    <t>RATTLESNAKE BALLROOM</t>
  </si>
  <si>
    <t>Hoffman, Tim</t>
  </si>
  <si>
    <t>Bolt, Paul</t>
  </si>
  <si>
    <t>Daugher, Jason</t>
  </si>
  <si>
    <t>Clay, Kenny</t>
  </si>
  <si>
    <t>Murski, Mike</t>
  </si>
  <si>
    <t>Dashner, Ryne</t>
  </si>
  <si>
    <t>Cathey, Jack</t>
  </si>
  <si>
    <t>Dennis, CW</t>
  </si>
  <si>
    <t>Garvelli, Joe</t>
  </si>
  <si>
    <t>Roberson, Mike</t>
  </si>
  <si>
    <t>Thelie, Jodie</t>
  </si>
  <si>
    <t>Vaughn, Gill</t>
  </si>
  <si>
    <t>Robinson, Mike</t>
  </si>
  <si>
    <t>Dosher, Ryne</t>
  </si>
  <si>
    <t>Stehn, Kevin</t>
  </si>
  <si>
    <t>Vaughn, Paige</t>
  </si>
  <si>
    <t>Blankinship, Mathew</t>
  </si>
  <si>
    <t>Powers, Laura</t>
  </si>
  <si>
    <t>Clay, Hunter</t>
  </si>
  <si>
    <t>Reagan, Casey</t>
  </si>
  <si>
    <t>King, Ben</t>
  </si>
  <si>
    <t>Parrott, Dickey</t>
  </si>
  <si>
    <t>Godsin, Robert</t>
  </si>
  <si>
    <t>Hoffman, Johnny</t>
  </si>
  <si>
    <t>Dennis, Albert</t>
  </si>
  <si>
    <t>QUARTERLY TOURNAMENT:  SUNDAY 6/27/21</t>
  </si>
  <si>
    <t>White, Dusty</t>
  </si>
  <si>
    <t>Ginest, Ella</t>
  </si>
  <si>
    <t>Heid, Meik</t>
  </si>
  <si>
    <t>Lamb, Randy</t>
  </si>
  <si>
    <t>QUARTERLY TOURNAMENT:  SUNDAY 10/3/21</t>
  </si>
  <si>
    <t>Huffman, Johnny</t>
  </si>
  <si>
    <t>Cathy, Jack</t>
  </si>
  <si>
    <t>Sawyers, Ronnie</t>
  </si>
  <si>
    <t>Dooley, Bill</t>
  </si>
  <si>
    <t>Herring, Bryan</t>
  </si>
  <si>
    <t>White, Dustin</t>
  </si>
  <si>
    <t>Hussion, Shannon</t>
  </si>
  <si>
    <t>Gonzales, Chris</t>
  </si>
  <si>
    <t>Foster, Bob</t>
  </si>
  <si>
    <t>Hamby, Jerry</t>
  </si>
  <si>
    <t>Paulson, Guy</t>
  </si>
  <si>
    <t>O'Neal, Jennie</t>
  </si>
  <si>
    <t>O'Neal, Patrick</t>
  </si>
  <si>
    <t>McCully, Angie</t>
  </si>
  <si>
    <t>Deande, Marissa</t>
  </si>
  <si>
    <t>Johnson, Kristin</t>
  </si>
  <si>
    <t>Ramirez, Martha</t>
  </si>
  <si>
    <t>Hanna, Doug</t>
  </si>
  <si>
    <t>Thompson, T.L.</t>
  </si>
  <si>
    <t>Thielel, Jodie</t>
  </si>
  <si>
    <t>Catchings, Bubba</t>
  </si>
  <si>
    <t>McDaniel, John</t>
  </si>
  <si>
    <t>Boy, Taco</t>
  </si>
  <si>
    <t>Spence, Brian</t>
  </si>
  <si>
    <t>Lossaley, Allen</t>
  </si>
  <si>
    <t>Simmons, Michele</t>
  </si>
  <si>
    <t>Bigham, Debbie</t>
  </si>
  <si>
    <t>Vaughn, Page</t>
  </si>
  <si>
    <t>Nelson, Linda</t>
  </si>
  <si>
    <t>Huffman, Bryan</t>
  </si>
  <si>
    <t>Ramos, Josh</t>
  </si>
  <si>
    <t>Speer, Thurman</t>
  </si>
  <si>
    <t>Byrd, Jeff</t>
  </si>
  <si>
    <t>QUARTERLY TOURNAMENT:  SUNDAY 4/10/22</t>
  </si>
  <si>
    <t>Speer, Thurman "TJ"</t>
  </si>
  <si>
    <t>Griiffin, Diann</t>
  </si>
  <si>
    <t>Parker, James</t>
  </si>
  <si>
    <t>Varra, Liana</t>
  </si>
  <si>
    <t>Lane, Randy</t>
  </si>
  <si>
    <t>Simsons, Michele</t>
  </si>
  <si>
    <t>Leftwich, Christine</t>
  </si>
  <si>
    <t>Olson, Steve</t>
  </si>
  <si>
    <t>Loosley, Alan</t>
  </si>
  <si>
    <t>Tucker, Wes</t>
  </si>
  <si>
    <t>Bigham, Debbi</t>
  </si>
  <si>
    <t>Peake, Ken</t>
  </si>
  <si>
    <t>Lottus, John</t>
  </si>
  <si>
    <t>Peake, Yelena</t>
  </si>
  <si>
    <t>Grudgel, Gary</t>
  </si>
  <si>
    <t>Bolt, Shauna</t>
  </si>
  <si>
    <t>Arreguin, Trudy</t>
  </si>
  <si>
    <t>Love, Randy</t>
  </si>
  <si>
    <t>QUARTERLY TOURNAMENT:  SUNDAY 8/7/22</t>
  </si>
  <si>
    <t>Kannon, Bardy</t>
  </si>
  <si>
    <t>Lewis, Christine</t>
  </si>
  <si>
    <t>Olivarri, Roy</t>
  </si>
  <si>
    <t>Olivarri, Tony</t>
  </si>
  <si>
    <t>Flower, Wayne</t>
  </si>
  <si>
    <t>QUARTERLY TOURNAMENT:  SUNDAY 10/30/22</t>
  </si>
  <si>
    <t>Leonard, John</t>
  </si>
  <si>
    <t>Loftus, John</t>
  </si>
  <si>
    <t>Hill, Robert "Bob"</t>
  </si>
  <si>
    <t>Moore, Raymond</t>
  </si>
  <si>
    <t>Adams, Erica</t>
  </si>
  <si>
    <t>Molina, Reggie</t>
  </si>
  <si>
    <t>Greenway, Deseree</t>
  </si>
  <si>
    <t>Wilkerson, Kink</t>
  </si>
  <si>
    <t>Bankston, Jacki</t>
  </si>
  <si>
    <t>Toon, David</t>
  </si>
  <si>
    <t>McKinney, Troy</t>
  </si>
  <si>
    <t>Seese, Terri</t>
  </si>
  <si>
    <t>Flowers, Wayne</t>
  </si>
  <si>
    <t>Hanshew, Ray</t>
  </si>
  <si>
    <t>Stutts, Brocke</t>
  </si>
  <si>
    <t>Maxwell, Caleb</t>
  </si>
  <si>
    <t>Bundick, Jay</t>
  </si>
  <si>
    <t>Robinson, Doug</t>
  </si>
  <si>
    <t>Wylie, Steve</t>
  </si>
  <si>
    <t>Wylie, Bobbie</t>
  </si>
  <si>
    <t>Jones, Barb</t>
  </si>
  <si>
    <t>Hodges, James</t>
  </si>
  <si>
    <t>Stutts, Brooke</t>
  </si>
  <si>
    <t>White, Duston</t>
  </si>
  <si>
    <t>Grimes, Debra</t>
  </si>
  <si>
    <t>Johnson, Joseph</t>
  </si>
  <si>
    <t>Allen, Lizanne</t>
  </si>
  <si>
    <t>QUARTERLY TOURNAMENT:  SUNDAY 2/19/23</t>
  </si>
  <si>
    <t>Villolovos, Gabby</t>
  </si>
  <si>
    <t>Villolovos, Hannan</t>
  </si>
  <si>
    <t>Leftwich, Paig</t>
  </si>
  <si>
    <t>MONTHLY EVENT (TOP-10 POINT LEADERS QUALIFY)</t>
  </si>
  <si>
    <t>$1,000 GIVEAWAY (CASH &amp; PRIZES)</t>
  </si>
  <si>
    <t>McDonald, Trace</t>
  </si>
  <si>
    <t>Rushing, Keith</t>
  </si>
  <si>
    <t>McPeek, John</t>
  </si>
  <si>
    <t xml:space="preserve">TOP 5 SUB'S </t>
  </si>
  <si>
    <t>SATURDAY: 3/4/23 / LA SIRENA (ARLINGTON) / 2:00 P.M.</t>
  </si>
  <si>
    <t>Vandiver, Ian</t>
  </si>
  <si>
    <t>Rowcutt, Haydan</t>
  </si>
  <si>
    <t>Cathings, Bubba</t>
  </si>
  <si>
    <t>McWhorter, Dan</t>
  </si>
  <si>
    <t>Leftwich, Paige</t>
  </si>
  <si>
    <t>Aponte, Jose</t>
  </si>
  <si>
    <t>RATTLESNAKE ROADHOUSE</t>
  </si>
  <si>
    <t>Scott, David</t>
  </si>
  <si>
    <t>Wyatt, Robert</t>
  </si>
  <si>
    <t>Ismael, Jimmy</t>
  </si>
  <si>
    <t>QUARTERLY EVENT:  SUNDAY 6/4/23</t>
  </si>
  <si>
    <t>Petrusaitis, Don</t>
  </si>
  <si>
    <t>White, Mariah</t>
  </si>
  <si>
    <t>Mangrum, Christopher</t>
  </si>
  <si>
    <t>QUARTERLY EVENT:  SUNDAY 9/24/23</t>
  </si>
  <si>
    <t>Logan, Jan</t>
  </si>
  <si>
    <t>Recker, Mitchell</t>
  </si>
  <si>
    <t>$260 CASH PRIZE</t>
  </si>
  <si>
    <t>BLACKIE'S BAIT SHOP</t>
  </si>
  <si>
    <t>Weinberg, Matt</t>
  </si>
  <si>
    <t>Morin, Bryan</t>
  </si>
  <si>
    <t>Morin, Mindy</t>
  </si>
  <si>
    <t>QUARTERLY EVENT:  SATURDAY 5/4/24</t>
  </si>
  <si>
    <t>Recker, Ron</t>
  </si>
  <si>
    <t>Ramos, Kelly</t>
  </si>
  <si>
    <t>Ramos, Joshua</t>
  </si>
  <si>
    <t>Wood, Bob</t>
  </si>
  <si>
    <t>QUARTERLY EVENT:  SATURDAY 7/27/24</t>
  </si>
  <si>
    <t>Hooley, Sheri</t>
  </si>
  <si>
    <t>Russell, John</t>
  </si>
  <si>
    <t>Bullard, Katy</t>
  </si>
  <si>
    <t>QUARTERLY EVENT:  SATURDAY 10/19/24</t>
  </si>
  <si>
    <t>Jackson, Tammy</t>
  </si>
  <si>
    <t>Harper, Alice</t>
  </si>
  <si>
    <t>Kendzior, Kendra</t>
  </si>
  <si>
    <t>Rogers, Carolyn</t>
  </si>
  <si>
    <t>Patty, John</t>
  </si>
  <si>
    <t>Procell - Bowen, Terri</t>
  </si>
  <si>
    <t>Eaton, Hunter</t>
  </si>
  <si>
    <t>Speer, TC</t>
  </si>
  <si>
    <t>Zaldivar, Kevin</t>
  </si>
  <si>
    <t>Zaldivar, Joel</t>
  </si>
  <si>
    <t>Holly, James</t>
  </si>
  <si>
    <t>Roe, Connie</t>
  </si>
  <si>
    <t>Loew, Ross</t>
  </si>
  <si>
    <t>Conger, Robert</t>
  </si>
  <si>
    <t>Bland, Josh</t>
  </si>
  <si>
    <t>Truong, Philip</t>
  </si>
  <si>
    <t>Gonzalez, Raymond</t>
  </si>
  <si>
    <t>Mayberry, Don</t>
  </si>
  <si>
    <t>Romero, Zeke</t>
  </si>
  <si>
    <t>Bunce, Newton</t>
  </si>
  <si>
    <t>Estes, Kaitlan</t>
  </si>
  <si>
    <t>Roy, Sam</t>
  </si>
  <si>
    <t>Frank, Sam</t>
  </si>
  <si>
    <t>Link, Chris</t>
  </si>
  <si>
    <t>Rasor, Dan</t>
  </si>
  <si>
    <t>Quintana, Brian</t>
  </si>
  <si>
    <t>Brumfield, Nicholas</t>
  </si>
  <si>
    <t>Jackson, Quante</t>
  </si>
  <si>
    <t>Ponce, David</t>
  </si>
  <si>
    <t>Nicholson, Carol</t>
  </si>
  <si>
    <t>Campos, Alex</t>
  </si>
  <si>
    <t>Dishman, Leigh</t>
  </si>
  <si>
    <t>Brumfield, Jennifer</t>
  </si>
  <si>
    <t>Medlock, Wendel</t>
  </si>
  <si>
    <t>McQuid, Riley</t>
  </si>
  <si>
    <t>Bamim, Nick</t>
  </si>
  <si>
    <t>Bermond, Kurt</t>
  </si>
  <si>
    <t>Davis, Jaz</t>
  </si>
  <si>
    <t>Arnold, Jerry</t>
  </si>
  <si>
    <t>Nielsen, Soren</t>
  </si>
  <si>
    <t>Muro, Beatriz</t>
  </si>
  <si>
    <t>Davis, Dana</t>
  </si>
  <si>
    <t>Jones, Dominque</t>
  </si>
  <si>
    <t>Yu, Ben</t>
  </si>
  <si>
    <t>Dewberry, James</t>
  </si>
  <si>
    <t>Padilla, Axel</t>
  </si>
  <si>
    <t>QUARTERLY EVENT:  SUNDAY 3/23/25</t>
  </si>
  <si>
    <t>LOS AMIGO'S SPORTS BAR + BITES (PLANO)</t>
  </si>
  <si>
    <t>Pineda, David</t>
  </si>
  <si>
    <t>Pineda, Monica</t>
  </si>
  <si>
    <t>Zarate, Michael</t>
  </si>
  <si>
    <t>Mora, Freddy</t>
  </si>
  <si>
    <t>Miller, Wesley</t>
  </si>
  <si>
    <t>Fullilove, Jerrel</t>
  </si>
  <si>
    <t>Christman, Derek</t>
  </si>
  <si>
    <t>Gundy, Steve</t>
  </si>
  <si>
    <t>Tanner, Sharon</t>
  </si>
  <si>
    <t>Ryan, Lindsey</t>
  </si>
  <si>
    <t>Woods, John</t>
  </si>
  <si>
    <t>Blakely, Quincy</t>
  </si>
  <si>
    <t>Mullins, Jade</t>
  </si>
  <si>
    <t>Bernet, Larry</t>
  </si>
  <si>
    <t>Campos, Gino</t>
  </si>
  <si>
    <t>Dodd, Logan</t>
  </si>
  <si>
    <t>Randle, Frederick</t>
  </si>
  <si>
    <t>McBride, Lakeidra</t>
  </si>
  <si>
    <t>Becker, Christi</t>
  </si>
  <si>
    <t>Becker, Randy</t>
  </si>
  <si>
    <t>Mauge, Harry</t>
  </si>
  <si>
    <t>ALUMNI SPORTS BAR &amp; GRILL</t>
  </si>
  <si>
    <t>Vela, Meredith</t>
  </si>
  <si>
    <t>Vela, Michael</t>
  </si>
  <si>
    <t>Mhoon, Kevin</t>
  </si>
  <si>
    <t>Ramos, David</t>
  </si>
  <si>
    <t>Bryant, Jennifer</t>
  </si>
  <si>
    <t>Golucke, Brenden</t>
  </si>
  <si>
    <t>Silva, Daniel</t>
  </si>
  <si>
    <t>Istel, Don</t>
  </si>
  <si>
    <t>VanOstran, Douglas</t>
  </si>
  <si>
    <t>Watson, Chris</t>
  </si>
  <si>
    <t>Furlow, Steven</t>
  </si>
  <si>
    <t>Brannon, Joe</t>
  </si>
  <si>
    <t>Oliver, Melissa</t>
  </si>
  <si>
    <t>Martin, Lindy</t>
  </si>
  <si>
    <t>Martin, Alaina</t>
  </si>
  <si>
    <t>Estrada, Tony</t>
  </si>
  <si>
    <t>Martin, Les</t>
  </si>
  <si>
    <t>Howey, Debbie</t>
  </si>
  <si>
    <t>Howey, Raymond</t>
  </si>
  <si>
    <t>Cross, Jeremy</t>
  </si>
  <si>
    <t>Ross, David</t>
  </si>
  <si>
    <t>Kearnes, Bill</t>
  </si>
  <si>
    <t>7/1-7/6</t>
  </si>
  <si>
    <t>7/8-7/13</t>
  </si>
  <si>
    <t>7/15-7/20</t>
  </si>
  <si>
    <t>7/22-7/27</t>
  </si>
  <si>
    <t>7/29-8/3</t>
  </si>
  <si>
    <t>8/5-8/10</t>
  </si>
  <si>
    <t>8/12-8/17</t>
  </si>
  <si>
    <t>8/19-8/24</t>
  </si>
  <si>
    <t>$410 CASH PRIZE</t>
  </si>
  <si>
    <t>Fair, Eddie</t>
  </si>
  <si>
    <t>Harrison, Michael</t>
  </si>
  <si>
    <t>Brown, Casey</t>
  </si>
  <si>
    <t>Linscome, James</t>
  </si>
  <si>
    <t>Roy, Abel</t>
  </si>
  <si>
    <t>Magbee, Jared</t>
  </si>
  <si>
    <t>Sneed, Dustyn</t>
  </si>
  <si>
    <t>Oliver, Barry</t>
  </si>
  <si>
    <t>Caserotti, John</t>
  </si>
  <si>
    <t>Broussard, Brad</t>
  </si>
  <si>
    <t>Lynn, Ryan</t>
  </si>
  <si>
    <t>Bremer, Demetra</t>
  </si>
  <si>
    <t>Bremer, Manny</t>
  </si>
  <si>
    <t>Cook, Tim</t>
  </si>
  <si>
    <t>King, Brad</t>
  </si>
  <si>
    <t>Kellum, Jimmy</t>
  </si>
  <si>
    <t>Vrbnjak, Sanjin</t>
  </si>
  <si>
    <t>Higgs, Nick</t>
  </si>
  <si>
    <t>Degroote, Scott</t>
  </si>
  <si>
    <t>Whitman, Cody</t>
  </si>
  <si>
    <t>Garman, Watson</t>
  </si>
  <si>
    <t>Davis, Chris</t>
  </si>
  <si>
    <t>Davis, Brenda</t>
  </si>
  <si>
    <t>Simmons, Kevin</t>
  </si>
  <si>
    <t>Durham, Jay</t>
  </si>
  <si>
    <t>Johnson, Kristen</t>
  </si>
  <si>
    <t>Quirones, Deangelo</t>
  </si>
  <si>
    <t>Humphrey, Brynden</t>
  </si>
  <si>
    <t>Hill, Karson</t>
  </si>
  <si>
    <t>Robbins, Jessica</t>
  </si>
  <si>
    <t>Starkey, Jan</t>
  </si>
  <si>
    <t>Koonce, Jeremy</t>
  </si>
  <si>
    <t>Starkey, David</t>
  </si>
  <si>
    <t>Franke, Michelle</t>
  </si>
  <si>
    <t>Benavides, Paul</t>
  </si>
  <si>
    <t>Melendez, Richard</t>
  </si>
  <si>
    <t>Elkins, Brad</t>
  </si>
  <si>
    <t>Martin, Karen</t>
  </si>
  <si>
    <t>Hayes, Brian</t>
  </si>
  <si>
    <t>Davidson, Brenda</t>
  </si>
  <si>
    <t>Hayes, Judy</t>
  </si>
  <si>
    <t>Miller, Trent</t>
  </si>
  <si>
    <t>Hardcastle, Jeff</t>
  </si>
  <si>
    <t>Ose, Trever</t>
  </si>
  <si>
    <t>Hudson, Abel</t>
  </si>
  <si>
    <t>Bremer, Holden</t>
  </si>
  <si>
    <t>Munoz, Hector</t>
  </si>
  <si>
    <t>QUARTERLY EVENT:  SUNDAY 9/7/25</t>
  </si>
  <si>
    <t>8/26-9/2</t>
  </si>
  <si>
    <t>Drapalik, Kelly</t>
  </si>
  <si>
    <t>Hayes, Melissa</t>
  </si>
  <si>
    <t>Drapalik, Joe</t>
  </si>
  <si>
    <t>Printz, Wally</t>
  </si>
  <si>
    <t>Thomas, James</t>
  </si>
  <si>
    <t>Davies, Chris</t>
  </si>
  <si>
    <t>Brown, Larry</t>
  </si>
  <si>
    <t>Martinez, Patrick</t>
  </si>
  <si>
    <t>McChesnee, Gerldine</t>
  </si>
  <si>
    <t>Rahn, Allyson</t>
  </si>
  <si>
    <t>Spencer, Renee</t>
  </si>
  <si>
    <t>Velez, Domingo</t>
  </si>
  <si>
    <t>JUNE</t>
  </si>
  <si>
    <t>Amadee, Tony</t>
  </si>
  <si>
    <t>Wurster, Rick</t>
  </si>
  <si>
    <t>Wetmore, William Jr.</t>
  </si>
  <si>
    <t>Harrison, Jerry</t>
  </si>
  <si>
    <t>Odem, Richard</t>
  </si>
  <si>
    <t>Bruner, Rodney</t>
  </si>
  <si>
    <t>Hart, Karen</t>
  </si>
  <si>
    <t>Clifton, Leonard</t>
  </si>
  <si>
    <t>TOP - 64 POINT LEADERS QUALIFY</t>
  </si>
  <si>
    <t>JUNE 23rd - OCTOBER 5th</t>
  </si>
  <si>
    <t>JULY</t>
  </si>
  <si>
    <t>SEPT</t>
  </si>
  <si>
    <t>AUG</t>
  </si>
  <si>
    <t>OCT</t>
  </si>
  <si>
    <t>20th YEAR ANNIVERSARY</t>
  </si>
  <si>
    <t>LOCATION / TIME / DATE: TBD</t>
  </si>
  <si>
    <t>Prince, Walley</t>
  </si>
  <si>
    <t>Williams, Micheal</t>
  </si>
  <si>
    <t>Floyd, Dede</t>
  </si>
  <si>
    <t>Sheffield, James</t>
  </si>
  <si>
    <t>TOP 64 QUALIFIER'S</t>
  </si>
  <si>
    <t>Walker, Q</t>
  </si>
  <si>
    <t>Barber, Charlene</t>
  </si>
  <si>
    <t>Polar, Daija</t>
  </si>
  <si>
    <t>Barnes, Tyree</t>
  </si>
  <si>
    <t>Raley, Beau</t>
  </si>
  <si>
    <t>Loudamy, Terry</t>
  </si>
  <si>
    <t>Osorio, Carlos</t>
  </si>
  <si>
    <t>Craft, JC</t>
  </si>
  <si>
    <t>Ortega, Dylan</t>
  </si>
  <si>
    <t>Ci, Caleb</t>
  </si>
  <si>
    <t>Davis, Adrain</t>
  </si>
  <si>
    <t>Harrison, Shannon</t>
  </si>
  <si>
    <t>Harrison, Sally</t>
  </si>
  <si>
    <t>Civale, Matt</t>
  </si>
  <si>
    <t>Ghimire, PJ</t>
  </si>
  <si>
    <t>Wendt, Wendy</t>
  </si>
  <si>
    <t>Muro, Humberto</t>
  </si>
  <si>
    <t>Harden, Daren</t>
  </si>
  <si>
    <t>Southern, Andrew</t>
  </si>
  <si>
    <t>Spence, Bryan</t>
  </si>
  <si>
    <t>Campos, Emiliano</t>
  </si>
  <si>
    <t>Sladecek, Jeff</t>
  </si>
  <si>
    <t>Merritt, Kelly</t>
  </si>
  <si>
    <t>Carmody, Karen</t>
  </si>
  <si>
    <t>Watts, Kyle</t>
  </si>
  <si>
    <t>Irwin, Kevin</t>
  </si>
  <si>
    <t>Cymbal, Martin</t>
  </si>
  <si>
    <t>Grimes, Deb</t>
  </si>
  <si>
    <t>Winter, Les</t>
  </si>
  <si>
    <t>Cadenhead, Ken</t>
  </si>
  <si>
    <t>Villarreal, Osvaldo</t>
  </si>
  <si>
    <t>Gonzalez, Karen</t>
  </si>
  <si>
    <t>Gonzalez, Ralph</t>
  </si>
  <si>
    <t>Williams, Tante</t>
  </si>
  <si>
    <t>Okane, Ken</t>
  </si>
  <si>
    <t>Martinez, Jake</t>
  </si>
  <si>
    <t>Schrotberger, Brandon</t>
  </si>
  <si>
    <t>Perry, Vernon</t>
  </si>
  <si>
    <t>Osborn, Jerry</t>
  </si>
  <si>
    <t>Dunn, Jennifer</t>
  </si>
  <si>
    <t>Haun, Olya</t>
  </si>
  <si>
    <t>Robinson, Jakob</t>
  </si>
  <si>
    <t>Hartsell, Jeffery</t>
  </si>
  <si>
    <t>Kosub, Matt</t>
  </si>
  <si>
    <t>Grande, Rudy</t>
  </si>
  <si>
    <t>Ramirez, Paul</t>
  </si>
  <si>
    <t>Cottrell, Cole</t>
  </si>
  <si>
    <t>Cade, Lori</t>
  </si>
  <si>
    <t>Ijeh, Sam</t>
  </si>
  <si>
    <t>Tanner, Sharron</t>
  </si>
  <si>
    <t>Wendt, Becky</t>
  </si>
  <si>
    <t>Webb, Christian</t>
  </si>
  <si>
    <t>Kim, Tom</t>
  </si>
  <si>
    <t>Pearson, Tyler</t>
  </si>
  <si>
    <t>Pearson, Jimmy</t>
  </si>
  <si>
    <t>VanEngen, Ronald</t>
  </si>
  <si>
    <t>Boeshart, Angie</t>
  </si>
  <si>
    <t>Jeffries, Dean</t>
  </si>
  <si>
    <t>Wilson, Richard</t>
  </si>
  <si>
    <t>Davis, Jazmyn</t>
  </si>
  <si>
    <t>Klaney, Brandon</t>
  </si>
  <si>
    <t>New, Candice</t>
  </si>
  <si>
    <t>Edmington, Steve</t>
  </si>
  <si>
    <t>Launel, Joey</t>
  </si>
  <si>
    <t>Swanson, Anthony</t>
  </si>
  <si>
    <t>Ammeter, Alan</t>
  </si>
  <si>
    <t>Kornhauser, Bobby</t>
  </si>
  <si>
    <t>Taylor, Ricky</t>
  </si>
  <si>
    <t>Urbina, Luis</t>
  </si>
  <si>
    <t>Loudamy, Trent</t>
  </si>
  <si>
    <t>Thompson, Scott</t>
  </si>
  <si>
    <t>Beck, Brent</t>
  </si>
  <si>
    <t>Garcia, Adylene</t>
  </si>
  <si>
    <t>Flew, Jack</t>
  </si>
  <si>
    <t>Ward, Jerry</t>
  </si>
  <si>
    <t>Brooks, Rebecca</t>
  </si>
  <si>
    <t>Santiago, Fred</t>
  </si>
  <si>
    <t>Stephens, Brandon</t>
  </si>
  <si>
    <t>Clark, Hayden</t>
  </si>
  <si>
    <t>Gamboa, Mellanie</t>
  </si>
  <si>
    <t>Poche, Aaron</t>
  </si>
  <si>
    <t>Munoz, Humberto</t>
  </si>
  <si>
    <t>Munoz, Sam</t>
  </si>
  <si>
    <t>Garcia, Rafael</t>
  </si>
  <si>
    <t>Garcia, Naoma</t>
  </si>
  <si>
    <t>Harvey, Jared</t>
  </si>
  <si>
    <t>Soliman, Samell</t>
  </si>
  <si>
    <t>Billmyre, Ashley</t>
  </si>
  <si>
    <t>Welch, Jake</t>
  </si>
  <si>
    <t>Odem, RJ</t>
  </si>
  <si>
    <t>Robinson, Gary</t>
  </si>
  <si>
    <t>Ladue, Donna</t>
  </si>
  <si>
    <t>Parics, Darron</t>
  </si>
  <si>
    <t>Akins, Nae</t>
  </si>
  <si>
    <t>Prochilo, Christin</t>
  </si>
  <si>
    <t>Lewis, Bobbie</t>
  </si>
  <si>
    <t>Trammell, Amy</t>
  </si>
  <si>
    <t>Bridges, Kaitlyn</t>
  </si>
  <si>
    <t>Crow, Cindy</t>
  </si>
  <si>
    <t>Munoz, Melanie</t>
  </si>
  <si>
    <t>Lopez, Elias</t>
  </si>
  <si>
    <t>Wetmore, William Sr.</t>
  </si>
  <si>
    <t>Gonzalez, Ray</t>
  </si>
  <si>
    <t>Lawson, Dottie</t>
  </si>
  <si>
    <t>Shipman, Bobby</t>
  </si>
  <si>
    <t>Gebert, Chris</t>
  </si>
  <si>
    <t>Fields, Deb</t>
  </si>
  <si>
    <t>Rosa, Abdias</t>
  </si>
  <si>
    <t>Rendon, Mike</t>
  </si>
  <si>
    <t>Renner, Nathan</t>
  </si>
  <si>
    <t>Renner, Rochelle</t>
  </si>
  <si>
    <t>Metzger, Verushlea</t>
  </si>
  <si>
    <t>Means, Collin</t>
  </si>
  <si>
    <t>Clark, John</t>
  </si>
  <si>
    <t>Bagwell, Chuck</t>
  </si>
  <si>
    <t>Wiggins, Jonnie</t>
  </si>
  <si>
    <t>Andrews, Cassy</t>
  </si>
  <si>
    <t>Solan, Adam</t>
  </si>
  <si>
    <t>Burton, Justin</t>
  </si>
  <si>
    <t>Ruiz, Rosa</t>
  </si>
  <si>
    <t xml:space="preserve">                                                                                                                       (updated 7/27/26)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</si>
</sst>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/d;@"/>
  </numFmts>
  <fonts count="46" x14ac:knownFonts="1">
    <font>
      <sz val="10"/>
      <name val="Arial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0"/>
      <color indexed="8"/>
      <name val="Arial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sz val="24"/>
      <color indexed="10"/>
      <name val="Arial"/>
      <family val="2"/>
    </font>
    <font>
      <b/>
      <sz val="11"/>
      <color indexed="9"/>
      <name val="Arial"/>
      <family val="2"/>
    </font>
    <font>
      <sz val="12"/>
      <name val="Arial"/>
      <family val="2"/>
    </font>
    <font>
      <b/>
      <sz val="11"/>
      <color indexed="50"/>
      <name val="Arial"/>
      <family val="2"/>
    </font>
    <font>
      <b/>
      <sz val="11"/>
      <color indexed="51"/>
      <name val="Arial"/>
      <family val="2"/>
    </font>
    <font>
      <b/>
      <sz val="11"/>
      <color indexed="44"/>
      <name val="Arial"/>
      <family val="2"/>
    </font>
    <font>
      <sz val="12"/>
      <color indexed="8"/>
      <name val="Arial"/>
      <family val="2"/>
    </font>
    <font>
      <b/>
      <sz val="26"/>
      <color indexed="13"/>
      <name val="Arial"/>
      <family val="2"/>
    </font>
    <font>
      <b/>
      <sz val="20"/>
      <color indexed="11"/>
      <name val="Arial"/>
      <family val="2"/>
    </font>
    <font>
      <b/>
      <sz val="20"/>
      <color indexed="10"/>
      <name val="Arial"/>
      <family val="2"/>
    </font>
    <font>
      <b/>
      <sz val="11"/>
      <color rgb="FF00CC00"/>
      <name val="Arial"/>
      <family val="2"/>
    </font>
    <font>
      <b/>
      <sz val="11"/>
      <color rgb="FFFFC000"/>
      <name val="Arial"/>
      <family val="2"/>
    </font>
    <font>
      <b/>
      <sz val="11"/>
      <color rgb="FF99CCFF"/>
      <name val="Arial"/>
      <family val="2"/>
    </font>
    <font>
      <b/>
      <sz val="26"/>
      <color rgb="FFFFFF00"/>
      <name val="Arial"/>
      <family val="2"/>
    </font>
    <font>
      <b/>
      <sz val="20"/>
      <color rgb="FFFFC000"/>
      <name val="Arial"/>
      <family val="2"/>
    </font>
    <font>
      <b/>
      <sz val="9"/>
      <color indexed="9"/>
      <name val="Arial"/>
      <family val="2"/>
    </font>
    <font>
      <sz val="9"/>
      <name val="Arial"/>
      <family val="2"/>
    </font>
    <font>
      <sz val="9"/>
      <color indexed="8"/>
      <name val="Arial"/>
      <family val="2"/>
    </font>
    <font>
      <b/>
      <sz val="22"/>
      <color rgb="FF00FF00"/>
      <name val="Arial"/>
      <family val="2"/>
    </font>
    <font>
      <b/>
      <sz val="22"/>
      <color rgb="FFFF0000"/>
      <name val="Arial"/>
      <family val="2"/>
    </font>
    <font>
      <b/>
      <sz val="22"/>
      <color rgb="FFFFFF00"/>
      <name val="Arial"/>
      <family val="2"/>
    </font>
    <font>
      <sz val="9"/>
      <name val="Arial Narrow"/>
      <family val="2"/>
    </font>
    <font>
      <sz val="11"/>
      <name val="Arial"/>
      <family val="2"/>
    </font>
    <font>
      <sz val="11"/>
      <color indexed="8"/>
      <name val="Arial"/>
      <family val="2"/>
    </font>
    <font>
      <b/>
      <sz val="23"/>
      <color rgb="FFFFFF00"/>
      <name val="Arial"/>
      <family val="2"/>
    </font>
    <font>
      <b/>
      <sz val="11"/>
      <color theme="0"/>
      <name val="Arial"/>
      <family val="2"/>
    </font>
  </fonts>
  <fills count="3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60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rgb="FF00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1"/>
        <bgColor indexed="64"/>
      </patternFill>
    </fill>
  </fills>
  <borders count="1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9" borderId="0" applyNumberFormat="0" applyBorder="0" applyAlignment="0" applyProtection="0"/>
    <xf numFmtId="0" fontId="4" fillId="3" borderId="0" applyNumberFormat="0" applyBorder="0" applyAlignment="0" applyProtection="0"/>
    <xf numFmtId="0" fontId="5" fillId="20" borderId="1" applyNumberFormat="0" applyAlignment="0" applyProtection="0"/>
    <xf numFmtId="0" fontId="6" fillId="21" borderId="2" applyNumberFormat="0" applyAlignment="0" applyProtection="0"/>
    <xf numFmtId="0" fontId="7" fillId="0" borderId="0" applyNumberFormat="0" applyFill="0" applyBorder="0" applyAlignment="0" applyProtection="0"/>
    <xf numFmtId="0" fontId="8" fillId="4" borderId="0" applyNumberFormat="0" applyBorder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1" fillId="0" borderId="0" applyNumberFormat="0" applyFill="0" applyBorder="0" applyAlignment="0" applyProtection="0"/>
    <xf numFmtId="0" fontId="12" fillId="7" borderId="1" applyNumberFormat="0" applyAlignment="0" applyProtection="0"/>
    <xf numFmtId="0" fontId="13" fillId="0" borderId="6" applyNumberFormat="0" applyFill="0" applyAlignment="0" applyProtection="0"/>
    <xf numFmtId="0" fontId="14" fillId="22" borderId="0" applyNumberFormat="0" applyBorder="0" applyAlignment="0" applyProtection="0"/>
    <xf numFmtId="0" fontId="15" fillId="0" borderId="0"/>
    <xf numFmtId="0" fontId="1" fillId="23" borderId="7" applyNumberFormat="0" applyFont="0" applyAlignment="0" applyProtection="0"/>
    <xf numFmtId="0" fontId="16" fillId="20" borderId="8" applyNumberFormat="0" applyAlignment="0" applyProtection="0"/>
    <xf numFmtId="0" fontId="17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9" fillId="0" borderId="0" applyNumberFormat="0" applyFill="0" applyBorder="0" applyAlignment="0" applyProtection="0"/>
  </cellStyleXfs>
  <cellXfs count="70">
    <xf numFmtId="0" fontId="0" fillId="0" borderId="0" xfId="0"/>
    <xf numFmtId="0" fontId="21" fillId="24" borderId="10" xfId="0" applyFont="1" applyFill="1" applyBorder="1" applyAlignment="1">
      <alignment horizontal="center"/>
    </xf>
    <xf numFmtId="164" fontId="21" fillId="24" borderId="10" xfId="0" applyNumberFormat="1" applyFont="1" applyFill="1" applyBorder="1" applyAlignment="1">
      <alignment horizontal="center"/>
    </xf>
    <xf numFmtId="0" fontId="23" fillId="0" borderId="0" xfId="0" applyFont="1"/>
    <xf numFmtId="0" fontId="24" fillId="0" borderId="0" xfId="0" applyFont="1"/>
    <xf numFmtId="0" fontId="25" fillId="0" borderId="0" xfId="0" applyFont="1"/>
    <xf numFmtId="0" fontId="22" fillId="26" borderId="10" xfId="0" applyFont="1" applyFill="1" applyBorder="1" applyAlignment="1">
      <alignment horizontal="center" wrapText="1"/>
    </xf>
    <xf numFmtId="1" fontId="26" fillId="27" borderId="10" xfId="37" applyNumberFormat="1" applyFont="1" applyFill="1" applyBorder="1" applyAlignment="1">
      <alignment horizontal="center" wrapText="1"/>
    </xf>
    <xf numFmtId="1" fontId="26" fillId="26" borderId="10" xfId="37" applyNumberFormat="1" applyFont="1" applyFill="1" applyBorder="1" applyAlignment="1">
      <alignment horizontal="center" wrapText="1"/>
    </xf>
    <xf numFmtId="1" fontId="22" fillId="26" borderId="10" xfId="37" applyNumberFormat="1" applyFont="1" applyFill="1" applyBorder="1" applyAlignment="1">
      <alignment horizontal="center" wrapText="1"/>
    </xf>
    <xf numFmtId="0" fontId="22" fillId="28" borderId="10" xfId="0" applyFont="1" applyFill="1" applyBorder="1" applyAlignment="1">
      <alignment horizontal="center" wrapText="1"/>
    </xf>
    <xf numFmtId="1" fontId="26" fillId="28" borderId="10" xfId="37" applyNumberFormat="1" applyFont="1" applyFill="1" applyBorder="1" applyAlignment="1">
      <alignment horizontal="center" wrapText="1"/>
    </xf>
    <xf numFmtId="1" fontId="22" fillId="28" borderId="10" xfId="37" applyNumberFormat="1" applyFont="1" applyFill="1" applyBorder="1" applyAlignment="1">
      <alignment horizontal="center" wrapText="1"/>
    </xf>
    <xf numFmtId="1" fontId="26" fillId="0" borderId="10" xfId="37" applyNumberFormat="1" applyFont="1" applyBorder="1" applyAlignment="1">
      <alignment horizontal="center" wrapText="1"/>
    </xf>
    <xf numFmtId="1" fontId="22" fillId="0" borderId="10" xfId="37" applyNumberFormat="1" applyFont="1" applyBorder="1" applyAlignment="1">
      <alignment horizontal="center" wrapText="1"/>
    </xf>
    <xf numFmtId="0" fontId="22" fillId="27" borderId="10" xfId="0" applyFont="1" applyFill="1" applyBorder="1" applyAlignment="1">
      <alignment horizontal="center" wrapText="1"/>
    </xf>
    <xf numFmtId="0" fontId="22" fillId="26" borderId="0" xfId="0" applyFont="1" applyFill="1" applyAlignment="1">
      <alignment horizontal="center" wrapText="1"/>
    </xf>
    <xf numFmtId="0" fontId="35" fillId="24" borderId="10" xfId="0" applyFont="1" applyFill="1" applyBorder="1" applyAlignment="1">
      <alignment horizontal="center"/>
    </xf>
    <xf numFmtId="164" fontId="35" fillId="24" borderId="10" xfId="0" applyNumberFormat="1" applyFont="1" applyFill="1" applyBorder="1" applyAlignment="1">
      <alignment horizontal="center"/>
    </xf>
    <xf numFmtId="1" fontId="37" fillId="0" borderId="10" xfId="37" applyNumberFormat="1" applyFont="1" applyBorder="1" applyAlignment="1">
      <alignment horizontal="center" wrapText="1"/>
    </xf>
    <xf numFmtId="0" fontId="36" fillId="26" borderId="10" xfId="0" applyFont="1" applyFill="1" applyBorder="1" applyAlignment="1">
      <alignment horizontal="center" wrapText="1"/>
    </xf>
    <xf numFmtId="1" fontId="37" fillId="26" borderId="10" xfId="37" applyNumberFormat="1" applyFont="1" applyFill="1" applyBorder="1" applyAlignment="1">
      <alignment horizontal="center" wrapText="1"/>
    </xf>
    <xf numFmtId="1" fontId="37" fillId="27" borderId="10" xfId="37" applyNumberFormat="1" applyFont="1" applyFill="1" applyBorder="1" applyAlignment="1">
      <alignment horizontal="center" wrapText="1"/>
    </xf>
    <xf numFmtId="0" fontId="36" fillId="28" borderId="10" xfId="0" applyFont="1" applyFill="1" applyBorder="1" applyAlignment="1">
      <alignment horizontal="center" wrapText="1"/>
    </xf>
    <xf numFmtId="1" fontId="37" fillId="28" borderId="10" xfId="37" applyNumberFormat="1" applyFont="1" applyFill="1" applyBorder="1" applyAlignment="1">
      <alignment horizontal="center" wrapText="1"/>
    </xf>
    <xf numFmtId="0" fontId="36" fillId="0" borderId="10" xfId="0" applyFont="1" applyBorder="1" applyAlignment="1">
      <alignment horizontal="center" wrapText="1"/>
    </xf>
    <xf numFmtId="0" fontId="41" fillId="0" borderId="0" xfId="0" applyFont="1" applyAlignment="1">
      <alignment horizontal="center" wrapText="1"/>
    </xf>
    <xf numFmtId="1" fontId="43" fillId="0" borderId="10" xfId="37" applyNumberFormat="1" applyFont="1" applyBorder="1" applyAlignment="1">
      <alignment horizontal="center" wrapText="1"/>
    </xf>
    <xf numFmtId="0" fontId="42" fillId="0" borderId="10" xfId="0" applyFont="1" applyBorder="1" applyAlignment="1">
      <alignment horizontal="center" wrapText="1"/>
    </xf>
    <xf numFmtId="0" fontId="42" fillId="26" borderId="10" xfId="0" applyFont="1" applyFill="1" applyBorder="1" applyAlignment="1">
      <alignment horizontal="center" wrapText="1"/>
    </xf>
    <xf numFmtId="1" fontId="43" fillId="26" borderId="10" xfId="37" applyNumberFormat="1" applyFont="1" applyFill="1" applyBorder="1" applyAlignment="1">
      <alignment horizontal="center" wrapText="1"/>
    </xf>
    <xf numFmtId="1" fontId="43" fillId="27" borderId="10" xfId="37" applyNumberFormat="1" applyFont="1" applyFill="1" applyBorder="1" applyAlignment="1">
      <alignment horizontal="center" wrapText="1"/>
    </xf>
    <xf numFmtId="0" fontId="31" fillId="25" borderId="11" xfId="0" applyFont="1" applyFill="1" applyBorder="1" applyAlignment="1">
      <alignment horizontal="left"/>
    </xf>
    <xf numFmtId="0" fontId="31" fillId="25" borderId="0" xfId="0" applyFont="1" applyFill="1" applyAlignment="1">
      <alignment horizontal="left"/>
    </xf>
    <xf numFmtId="0" fontId="30" fillId="25" borderId="11" xfId="0" applyFont="1" applyFill="1" applyBorder="1" applyAlignment="1">
      <alignment horizontal="left"/>
    </xf>
    <xf numFmtId="0" fontId="30" fillId="25" borderId="0" xfId="0" applyFont="1" applyFill="1" applyAlignment="1">
      <alignment horizontal="left"/>
    </xf>
    <xf numFmtId="0" fontId="0" fillId="0" borderId="12" xfId="0" applyBorder="1"/>
    <xf numFmtId="0" fontId="44" fillId="25" borderId="10" xfId="0" applyFont="1" applyFill="1" applyBorder="1" applyAlignment="1">
      <alignment horizontal="center"/>
    </xf>
    <xf numFmtId="0" fontId="0" fillId="25" borderId="10" xfId="0" applyFill="1" applyBorder="1"/>
    <xf numFmtId="0" fontId="39" fillId="25" borderId="10" xfId="0" applyFont="1" applyFill="1" applyBorder="1" applyAlignment="1">
      <alignment horizontal="center"/>
    </xf>
    <xf numFmtId="0" fontId="40" fillId="25" borderId="10" xfId="0" applyFont="1" applyFill="1" applyBorder="1" applyAlignment="1">
      <alignment horizontal="center"/>
    </xf>
    <xf numFmtId="0" fontId="38" fillId="25" borderId="10" xfId="0" applyFont="1" applyFill="1" applyBorder="1" applyAlignment="1">
      <alignment horizontal="center"/>
    </xf>
    <xf numFmtId="0" fontId="45" fillId="25" borderId="13" xfId="0" applyFont="1" applyFill="1" applyBorder="1" applyAlignment="1">
      <alignment horizontal="center"/>
    </xf>
    <xf numFmtId="0" fontId="45" fillId="25" borderId="14" xfId="0" applyFont="1" applyFill="1" applyBorder="1" applyAlignment="1">
      <alignment horizontal="center"/>
    </xf>
    <xf numFmtId="0" fontId="45" fillId="25" borderId="15" xfId="0" applyFont="1" applyFill="1" applyBorder="1" applyAlignment="1">
      <alignment horizontal="center"/>
    </xf>
    <xf numFmtId="0" fontId="38" fillId="25" borderId="13" xfId="0" applyFont="1" applyFill="1" applyBorder="1" applyAlignment="1">
      <alignment horizontal="center"/>
    </xf>
    <xf numFmtId="0" fontId="38" fillId="25" borderId="14" xfId="0" applyFont="1" applyFill="1" applyBorder="1" applyAlignment="1">
      <alignment horizontal="center"/>
    </xf>
    <xf numFmtId="0" fontId="38" fillId="25" borderId="15" xfId="0" applyFont="1" applyFill="1" applyBorder="1" applyAlignment="1">
      <alignment horizontal="center"/>
    </xf>
    <xf numFmtId="0" fontId="30" fillId="25" borderId="11" xfId="0" applyFont="1" applyFill="1" applyBorder="1"/>
    <xf numFmtId="0" fontId="30" fillId="25" borderId="0" xfId="0" applyFont="1" applyFill="1"/>
    <xf numFmtId="0" fontId="31" fillId="25" borderId="11" xfId="0" applyFont="1" applyFill="1" applyBorder="1"/>
    <xf numFmtId="0" fontId="31" fillId="25" borderId="0" xfId="0" applyFont="1" applyFill="1"/>
    <xf numFmtId="0" fontId="25" fillId="25" borderId="11" xfId="0" applyFont="1" applyFill="1" applyBorder="1"/>
    <xf numFmtId="0" fontId="25" fillId="25" borderId="0" xfId="0" applyFont="1" applyFill="1"/>
    <xf numFmtId="0" fontId="27" fillId="25" borderId="10" xfId="0" applyFont="1" applyFill="1" applyBorder="1" applyAlignment="1">
      <alignment horizontal="center"/>
    </xf>
    <xf numFmtId="0" fontId="28" fillId="25" borderId="13" xfId="0" applyFont="1" applyFill="1" applyBorder="1" applyAlignment="1">
      <alignment horizontal="center"/>
    </xf>
    <xf numFmtId="0" fontId="28" fillId="25" borderId="14" xfId="0" applyFont="1" applyFill="1" applyBorder="1" applyAlignment="1">
      <alignment horizontal="center"/>
    </xf>
    <xf numFmtId="0" fontId="20" fillId="25" borderId="13" xfId="0" applyFont="1" applyFill="1" applyBorder="1" applyAlignment="1">
      <alignment horizontal="center"/>
    </xf>
    <xf numFmtId="0" fontId="20" fillId="25" borderId="14" xfId="0" applyFont="1" applyFill="1" applyBorder="1" applyAlignment="1">
      <alignment horizontal="center"/>
    </xf>
    <xf numFmtId="0" fontId="32" fillId="25" borderId="11" xfId="0" applyFont="1" applyFill="1" applyBorder="1" applyAlignment="1">
      <alignment horizontal="left"/>
    </xf>
    <xf numFmtId="0" fontId="32" fillId="25" borderId="0" xfId="0" applyFont="1" applyFill="1" applyAlignment="1">
      <alignment horizontal="left"/>
    </xf>
    <xf numFmtId="0" fontId="29" fillId="29" borderId="11" xfId="0" applyFont="1" applyFill="1" applyBorder="1" applyAlignment="1">
      <alignment horizontal="center"/>
    </xf>
    <xf numFmtId="0" fontId="29" fillId="29" borderId="0" xfId="0" applyFont="1" applyFill="1" applyAlignment="1">
      <alignment horizontal="center"/>
    </xf>
    <xf numFmtId="0" fontId="0" fillId="29" borderId="0" xfId="0" applyFill="1" applyAlignment="1">
      <alignment horizontal="center"/>
    </xf>
    <xf numFmtId="0" fontId="33" fillId="29" borderId="11" xfId="0" applyFont="1" applyFill="1" applyBorder="1" applyAlignment="1">
      <alignment horizontal="center"/>
    </xf>
    <xf numFmtId="0" fontId="33" fillId="29" borderId="0" xfId="0" applyFont="1" applyFill="1" applyAlignment="1">
      <alignment horizontal="center"/>
    </xf>
    <xf numFmtId="0" fontId="34" fillId="29" borderId="11" xfId="0" applyFont="1" applyFill="1" applyBorder="1" applyAlignment="1">
      <alignment horizontal="center"/>
    </xf>
    <xf numFmtId="0" fontId="34" fillId="29" borderId="0" xfId="0" applyFont="1" applyFill="1" applyAlignment="1">
      <alignment horizontal="center"/>
    </xf>
    <xf numFmtId="0" fontId="28" fillId="29" borderId="11" xfId="0" applyFont="1" applyFill="1" applyBorder="1" applyAlignment="1">
      <alignment horizontal="center"/>
    </xf>
    <xf numFmtId="0" fontId="28" fillId="29" borderId="0" xfId="0" applyFont="1" applyFill="1" applyAlignment="1">
      <alignment horizontal="center"/>
    </xf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_6-15-09 - 7-13-09 (9th Month)" xfId="37"/>
    <cellStyle name="Note" xfId="38" builtinId="10" customBuiltin="1"/>
    <cellStyle name="Output" xfId="39" builtinId="21" customBuiltin="1"/>
    <cellStyle name="Title" xfId="40" builtinId="15" customBuiltin="1"/>
    <cellStyle name="Total" xfId="41" builtinId="25" customBuiltin="1"/>
    <cellStyle name="Warning Text" xfId="42" builtinId="11" customBuiltin="1"/>
  </cellStyles>
  <dxfs count="0"/>
  <tableStyles count="0" defaultTableStyle="TableStyleMedium9" defaultPivotStyle="PivotStyleLight16"/>
  <colors>
    <mruColors>
      <color rgb="FF00CC00"/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114300</xdr:rowOff>
    </xdr:from>
    <xdr:to>
      <xdr:col>8</xdr:col>
      <xdr:colOff>9525</xdr:colOff>
      <xdr:row>1</xdr:row>
      <xdr:rowOff>0</xdr:rowOff>
    </xdr:to>
    <xdr:pic>
      <xdr:nvPicPr>
        <xdr:cNvPr id="2" name="Picture 1" descr="18221552_791041301051747_3222651048253243421_n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4300"/>
          <a:ext cx="5981700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114300</xdr:rowOff>
    </xdr:from>
    <xdr:to>
      <xdr:col>15</xdr:col>
      <xdr:colOff>9525</xdr:colOff>
      <xdr:row>1</xdr:row>
      <xdr:rowOff>0</xdr:rowOff>
    </xdr:to>
    <xdr:pic>
      <xdr:nvPicPr>
        <xdr:cNvPr id="55373" name="Picture 1" descr="18221552_791041301051747_3222651048253243421_n">
          <a:extLst>
            <a:ext uri="{FF2B5EF4-FFF2-40B4-BE49-F238E27FC236}">
              <a16:creationId xmlns="" xmlns:a16="http://schemas.microsoft.com/office/drawing/2014/main" id="{00000000-0008-0000-0900-00004DD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4300"/>
          <a:ext cx="833437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114300</xdr:rowOff>
    </xdr:from>
    <xdr:to>
      <xdr:col>15</xdr:col>
      <xdr:colOff>9525</xdr:colOff>
      <xdr:row>1</xdr:row>
      <xdr:rowOff>0</xdr:rowOff>
    </xdr:to>
    <xdr:pic>
      <xdr:nvPicPr>
        <xdr:cNvPr id="54363" name="Picture 1" descr="18221552_791041301051747_3222651048253243421_n">
          <a:extLst>
            <a:ext uri="{FF2B5EF4-FFF2-40B4-BE49-F238E27FC236}">
              <a16:creationId xmlns="" xmlns:a16="http://schemas.microsoft.com/office/drawing/2014/main" id="{00000000-0008-0000-0A00-00005BD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4300"/>
          <a:ext cx="833437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114300</xdr:rowOff>
    </xdr:from>
    <xdr:to>
      <xdr:col>16</xdr:col>
      <xdr:colOff>0</xdr:colOff>
      <xdr:row>1</xdr:row>
      <xdr:rowOff>0</xdr:rowOff>
    </xdr:to>
    <xdr:pic>
      <xdr:nvPicPr>
        <xdr:cNvPr id="53363" name="Picture 1" descr="18221552_791041301051747_3222651048253243421_n">
          <a:extLst>
            <a:ext uri="{FF2B5EF4-FFF2-40B4-BE49-F238E27FC236}">
              <a16:creationId xmlns="" xmlns:a16="http://schemas.microsoft.com/office/drawing/2014/main" id="{00000000-0008-0000-0B00-000073D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4300"/>
          <a:ext cx="8315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114300</xdr:rowOff>
    </xdr:from>
    <xdr:to>
      <xdr:col>16</xdr:col>
      <xdr:colOff>9525</xdr:colOff>
      <xdr:row>1</xdr:row>
      <xdr:rowOff>0</xdr:rowOff>
    </xdr:to>
    <xdr:pic>
      <xdr:nvPicPr>
        <xdr:cNvPr id="52358" name="Picture 1" descr="18221552_791041301051747_3222651048253243421_n">
          <a:extLst>
            <a:ext uri="{FF2B5EF4-FFF2-40B4-BE49-F238E27FC236}">
              <a16:creationId xmlns="" xmlns:a16="http://schemas.microsoft.com/office/drawing/2014/main" id="{00000000-0008-0000-0C00-000086C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4300"/>
          <a:ext cx="86201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114300</xdr:rowOff>
    </xdr:from>
    <xdr:to>
      <xdr:col>16</xdr:col>
      <xdr:colOff>9525</xdr:colOff>
      <xdr:row>1</xdr:row>
      <xdr:rowOff>0</xdr:rowOff>
    </xdr:to>
    <xdr:pic>
      <xdr:nvPicPr>
        <xdr:cNvPr id="51356" name="Picture 1" descr="18221552_791041301051747_3222651048253243421_n">
          <a:extLst>
            <a:ext uri="{FF2B5EF4-FFF2-40B4-BE49-F238E27FC236}">
              <a16:creationId xmlns="" xmlns:a16="http://schemas.microsoft.com/office/drawing/2014/main" id="{00000000-0008-0000-0D00-00009CC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4300"/>
          <a:ext cx="86201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114300</xdr:rowOff>
    </xdr:from>
    <xdr:to>
      <xdr:col>15</xdr:col>
      <xdr:colOff>9525</xdr:colOff>
      <xdr:row>1</xdr:row>
      <xdr:rowOff>0</xdr:rowOff>
    </xdr:to>
    <xdr:pic>
      <xdr:nvPicPr>
        <xdr:cNvPr id="2" name="Picture 1" descr="18221552_791041301051747_3222651048253243421_n">
          <a:extLst>
            <a:ext uri="{FF2B5EF4-FFF2-40B4-BE49-F238E27FC236}">
              <a16:creationId xmlns=""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4300"/>
          <a:ext cx="833437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114300</xdr:rowOff>
    </xdr:from>
    <xdr:to>
      <xdr:col>15</xdr:col>
      <xdr:colOff>9525</xdr:colOff>
      <xdr:row>1</xdr:row>
      <xdr:rowOff>0</xdr:rowOff>
    </xdr:to>
    <xdr:pic>
      <xdr:nvPicPr>
        <xdr:cNvPr id="2" name="Picture 1" descr="18221552_791041301051747_3222651048253243421_n">
          <a:extLst>
            <a:ext uri="{FF2B5EF4-FFF2-40B4-BE49-F238E27FC236}">
              <a16:creationId xmlns=""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4300"/>
          <a:ext cx="833437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114300</xdr:rowOff>
    </xdr:from>
    <xdr:to>
      <xdr:col>15</xdr:col>
      <xdr:colOff>9525</xdr:colOff>
      <xdr:row>1</xdr:row>
      <xdr:rowOff>0</xdr:rowOff>
    </xdr:to>
    <xdr:pic>
      <xdr:nvPicPr>
        <xdr:cNvPr id="2" name="Picture 1" descr="18221552_791041301051747_3222651048253243421_n">
          <a:extLst>
            <a:ext uri="{FF2B5EF4-FFF2-40B4-BE49-F238E27FC236}">
              <a16:creationId xmlns=""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4300"/>
          <a:ext cx="833437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114300</xdr:rowOff>
    </xdr:from>
    <xdr:to>
      <xdr:col>15</xdr:col>
      <xdr:colOff>9525</xdr:colOff>
      <xdr:row>1</xdr:row>
      <xdr:rowOff>0</xdr:rowOff>
    </xdr:to>
    <xdr:pic>
      <xdr:nvPicPr>
        <xdr:cNvPr id="2" name="Picture 1" descr="18221552_791041301051747_3222651048253243421_n">
          <a:extLst>
            <a:ext uri="{FF2B5EF4-FFF2-40B4-BE49-F238E27FC236}">
              <a16:creationId xmlns=""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4300"/>
          <a:ext cx="833437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114300</xdr:rowOff>
    </xdr:from>
    <xdr:to>
      <xdr:col>15</xdr:col>
      <xdr:colOff>9525</xdr:colOff>
      <xdr:row>1</xdr:row>
      <xdr:rowOff>0</xdr:rowOff>
    </xdr:to>
    <xdr:pic>
      <xdr:nvPicPr>
        <xdr:cNvPr id="59418" name="Picture 1" descr="18221552_791041301051747_3222651048253243421_n">
          <a:extLst>
            <a:ext uri="{FF2B5EF4-FFF2-40B4-BE49-F238E27FC236}">
              <a16:creationId xmlns="" xmlns:a16="http://schemas.microsoft.com/office/drawing/2014/main" id="{00000000-0008-0000-0500-00001AE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4300"/>
          <a:ext cx="833437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114300</xdr:rowOff>
    </xdr:from>
    <xdr:to>
      <xdr:col>15</xdr:col>
      <xdr:colOff>9525</xdr:colOff>
      <xdr:row>1</xdr:row>
      <xdr:rowOff>0</xdr:rowOff>
    </xdr:to>
    <xdr:pic>
      <xdr:nvPicPr>
        <xdr:cNvPr id="58405" name="Picture 1" descr="18221552_791041301051747_3222651048253243421_n">
          <a:extLst>
            <a:ext uri="{FF2B5EF4-FFF2-40B4-BE49-F238E27FC236}">
              <a16:creationId xmlns="" xmlns:a16="http://schemas.microsoft.com/office/drawing/2014/main" id="{00000000-0008-0000-0600-000025E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4300"/>
          <a:ext cx="833437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114300</xdr:rowOff>
    </xdr:from>
    <xdr:to>
      <xdr:col>15</xdr:col>
      <xdr:colOff>9525</xdr:colOff>
      <xdr:row>1</xdr:row>
      <xdr:rowOff>0</xdr:rowOff>
    </xdr:to>
    <xdr:pic>
      <xdr:nvPicPr>
        <xdr:cNvPr id="57397" name="Picture 1" descr="18221552_791041301051747_3222651048253243421_n">
          <a:extLst>
            <a:ext uri="{FF2B5EF4-FFF2-40B4-BE49-F238E27FC236}">
              <a16:creationId xmlns="" xmlns:a16="http://schemas.microsoft.com/office/drawing/2014/main" id="{00000000-0008-0000-0700-000035E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4300"/>
          <a:ext cx="833437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114300</xdr:rowOff>
    </xdr:from>
    <xdr:to>
      <xdr:col>15</xdr:col>
      <xdr:colOff>9525</xdr:colOff>
      <xdr:row>1</xdr:row>
      <xdr:rowOff>0</xdr:rowOff>
    </xdr:to>
    <xdr:pic>
      <xdr:nvPicPr>
        <xdr:cNvPr id="56446" name="Picture 1" descr="18221552_791041301051747_3222651048253243421_n">
          <a:extLst>
            <a:ext uri="{FF2B5EF4-FFF2-40B4-BE49-F238E27FC236}">
              <a16:creationId xmlns="" xmlns:a16="http://schemas.microsoft.com/office/drawing/2014/main" id="{00000000-0008-0000-0800-00007ED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4300"/>
          <a:ext cx="833437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53</xdr:row>
      <xdr:rowOff>0</xdr:rowOff>
    </xdr:from>
    <xdr:to>
      <xdr:col>15</xdr:col>
      <xdr:colOff>9525</xdr:colOff>
      <xdr:row>62</xdr:row>
      <xdr:rowOff>28575</xdr:rowOff>
    </xdr:to>
    <xdr:pic>
      <xdr:nvPicPr>
        <xdr:cNvPr id="56447" name="Picture 1" descr="18221552_791041301051747_3222651048253243421_n">
          <a:extLst>
            <a:ext uri="{FF2B5EF4-FFF2-40B4-BE49-F238E27FC236}">
              <a16:creationId xmlns="" xmlns:a16="http://schemas.microsoft.com/office/drawing/2014/main" id="{00000000-0008-0000-0800-00007FD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287250"/>
          <a:ext cx="833437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76"/>
  <sheetViews>
    <sheetView tabSelected="1" zoomScaleNormal="100" workbookViewId="0">
      <selection activeCell="A7" sqref="A7:H7"/>
    </sheetView>
  </sheetViews>
  <sheetFormatPr defaultRowHeight="12.75" x14ac:dyDescent="0.2"/>
  <cols>
    <col min="1" max="1" width="8.7109375" customWidth="1"/>
    <col min="2" max="2" width="24.28515625" customWidth="1"/>
    <col min="3" max="3" width="10.85546875" customWidth="1"/>
    <col min="4" max="8" width="9.140625" customWidth="1"/>
    <col min="9" max="9" width="8.7109375" customWidth="1"/>
  </cols>
  <sheetData>
    <row r="1" spans="1:8" ht="126" customHeight="1" x14ac:dyDescent="0.2">
      <c r="A1" s="36"/>
      <c r="B1" s="36"/>
      <c r="C1" s="36"/>
      <c r="D1" s="36"/>
      <c r="E1" s="36"/>
      <c r="F1" s="36"/>
      <c r="G1" s="36"/>
      <c r="H1" s="36"/>
    </row>
    <row r="2" spans="1:8" ht="38.25" customHeight="1" x14ac:dyDescent="0.4">
      <c r="A2" s="37" t="s">
        <v>355</v>
      </c>
      <c r="B2" s="37"/>
      <c r="C2" s="37"/>
      <c r="D2" s="37"/>
      <c r="E2" s="37"/>
      <c r="F2" s="37"/>
      <c r="G2" s="37"/>
      <c r="H2" s="37"/>
    </row>
    <row r="3" spans="1:8" ht="38.25" customHeight="1" x14ac:dyDescent="0.4">
      <c r="A3" s="39" t="s">
        <v>356</v>
      </c>
      <c r="B3" s="39"/>
      <c r="C3" s="39"/>
      <c r="D3" s="39"/>
      <c r="E3" s="39"/>
      <c r="F3" s="39"/>
      <c r="G3" s="39"/>
      <c r="H3" s="39"/>
    </row>
    <row r="4" spans="1:8" ht="38.25" customHeight="1" x14ac:dyDescent="0.4">
      <c r="A4" s="40" t="s">
        <v>350</v>
      </c>
      <c r="B4" s="40"/>
      <c r="C4" s="40"/>
      <c r="D4" s="40"/>
      <c r="E4" s="40"/>
      <c r="F4" s="40"/>
      <c r="G4" s="40"/>
      <c r="H4" s="40"/>
    </row>
    <row r="5" spans="1:8" ht="38.25" customHeight="1" x14ac:dyDescent="0.4">
      <c r="A5" s="41" t="s">
        <v>349</v>
      </c>
      <c r="B5" s="41"/>
      <c r="C5" s="41"/>
      <c r="D5" s="41"/>
      <c r="E5" s="41"/>
      <c r="F5" s="41"/>
      <c r="G5" s="41"/>
      <c r="H5" s="41"/>
    </row>
    <row r="6" spans="1:8" ht="9.75" customHeight="1" x14ac:dyDescent="0.4">
      <c r="A6" s="45"/>
      <c r="B6" s="46"/>
      <c r="C6" s="46"/>
      <c r="D6" s="46"/>
      <c r="E6" s="46"/>
      <c r="F6" s="46"/>
      <c r="G6" s="46"/>
      <c r="H6" s="47"/>
    </row>
    <row r="7" spans="1:8" ht="18.75" customHeight="1" x14ac:dyDescent="0.25">
      <c r="A7" s="42" t="s">
        <v>482</v>
      </c>
      <c r="B7" s="43"/>
      <c r="C7" s="43"/>
      <c r="D7" s="43"/>
      <c r="E7" s="43"/>
      <c r="F7" s="43"/>
      <c r="G7" s="43"/>
      <c r="H7" s="44"/>
    </row>
    <row r="8" spans="1:8" ht="18" customHeight="1" x14ac:dyDescent="0.2">
      <c r="A8" s="38"/>
      <c r="B8" s="38"/>
      <c r="C8" s="38"/>
      <c r="D8" s="38"/>
      <c r="E8" s="38"/>
      <c r="F8" s="38"/>
      <c r="G8" s="38"/>
      <c r="H8" s="38"/>
    </row>
    <row r="9" spans="1:8" ht="15" customHeight="1" x14ac:dyDescent="0.25">
      <c r="A9" s="1" t="s">
        <v>1</v>
      </c>
      <c r="B9" s="1" t="s">
        <v>0</v>
      </c>
      <c r="C9" s="1" t="s">
        <v>2</v>
      </c>
      <c r="D9" s="2" t="s">
        <v>340</v>
      </c>
      <c r="E9" s="2" t="s">
        <v>351</v>
      </c>
      <c r="F9" s="2" t="s">
        <v>353</v>
      </c>
      <c r="G9" s="2" t="s">
        <v>352</v>
      </c>
      <c r="H9" s="2" t="s">
        <v>354</v>
      </c>
    </row>
    <row r="10" spans="1:8" ht="15" customHeight="1" x14ac:dyDescent="0.2">
      <c r="A10" s="29">
        <v>1</v>
      </c>
      <c r="B10" s="29" t="s">
        <v>134</v>
      </c>
      <c r="C10" s="31">
        <f t="shared" ref="C10:C41" si="0">SUM(D10:H10)</f>
        <v>8910</v>
      </c>
      <c r="D10" s="27">
        <f>275+200+175+350+350+200+575+275+160</f>
        <v>2560</v>
      </c>
      <c r="E10" s="27">
        <f>375+575+475+425+350+375+350+425+325+275+115+160+425+575+375+375+375</f>
        <v>6350</v>
      </c>
      <c r="F10" s="27"/>
      <c r="G10" s="27"/>
      <c r="H10" s="27"/>
    </row>
    <row r="11" spans="1:8" ht="15" customHeight="1" x14ac:dyDescent="0.2">
      <c r="A11" s="29">
        <v>2</v>
      </c>
      <c r="B11" s="29" t="s">
        <v>339</v>
      </c>
      <c r="C11" s="31">
        <f t="shared" si="0"/>
        <v>8425</v>
      </c>
      <c r="D11" s="27">
        <f>225+475+425+425+275+200+300+200</f>
        <v>2525</v>
      </c>
      <c r="E11" s="27">
        <f>575+350+275+475+300+575+475+425+425+425+375+175+325+250+475</f>
        <v>5900</v>
      </c>
      <c r="F11" s="27"/>
      <c r="G11" s="27"/>
      <c r="H11" s="27"/>
    </row>
    <row r="12" spans="1:8" ht="15" customHeight="1" x14ac:dyDescent="0.2">
      <c r="A12" s="29">
        <v>3</v>
      </c>
      <c r="B12" s="29" t="s">
        <v>337</v>
      </c>
      <c r="C12" s="31">
        <f t="shared" si="0"/>
        <v>7680</v>
      </c>
      <c r="D12" s="27">
        <f>250+375+575+575+300+160+375+145</f>
        <v>2755</v>
      </c>
      <c r="E12" s="27">
        <f>375+350+300+175+350+350+350+250+325+375+475+300+200+425+325</f>
        <v>4925</v>
      </c>
      <c r="F12" s="27"/>
      <c r="G12" s="27"/>
      <c r="H12" s="27"/>
    </row>
    <row r="13" spans="1:8" ht="15" customHeight="1" x14ac:dyDescent="0.2">
      <c r="A13" s="29">
        <v>4</v>
      </c>
      <c r="B13" s="29" t="s">
        <v>347</v>
      </c>
      <c r="C13" s="31">
        <f t="shared" si="0"/>
        <v>7675</v>
      </c>
      <c r="D13" s="27">
        <f>350+275+275+425+300</f>
        <v>1625</v>
      </c>
      <c r="E13" s="27">
        <f>475+225+250+350+200+475+225+475+200+300+375+300+425+375+425+200+575+200</f>
        <v>6050</v>
      </c>
      <c r="F13" s="27"/>
      <c r="G13" s="27"/>
      <c r="H13" s="27"/>
    </row>
    <row r="14" spans="1:8" ht="15" customHeight="1" x14ac:dyDescent="0.2">
      <c r="A14" s="29">
        <v>5</v>
      </c>
      <c r="B14" s="29" t="s">
        <v>368</v>
      </c>
      <c r="C14" s="31">
        <f t="shared" si="0"/>
        <v>7175</v>
      </c>
      <c r="D14" s="27">
        <f>145+250+175+200+475+145+575</f>
        <v>1965</v>
      </c>
      <c r="E14" s="27">
        <f>425+425+160+475+300+325+575+325+325+160+575+115+575+175+275</f>
        <v>5210</v>
      </c>
      <c r="F14" s="27"/>
      <c r="G14" s="27"/>
      <c r="H14" s="27"/>
    </row>
    <row r="15" spans="1:8" ht="15" customHeight="1" x14ac:dyDescent="0.2">
      <c r="A15" s="29">
        <v>6</v>
      </c>
      <c r="B15" s="29" t="s">
        <v>219</v>
      </c>
      <c r="C15" s="31">
        <f t="shared" si="0"/>
        <v>6740</v>
      </c>
      <c r="D15" s="27">
        <f>475+375+300+375+375+130+250+275</f>
        <v>2555</v>
      </c>
      <c r="E15" s="27">
        <f>300+115+350+350+575+115+130+475+200+575+375+350+275</f>
        <v>4185</v>
      </c>
      <c r="F15" s="27"/>
      <c r="G15" s="27"/>
      <c r="H15" s="27"/>
    </row>
    <row r="16" spans="1:8" ht="15" customHeight="1" x14ac:dyDescent="0.2">
      <c r="A16" s="29">
        <v>7</v>
      </c>
      <c r="B16" s="29" t="s">
        <v>335</v>
      </c>
      <c r="C16" s="31">
        <f t="shared" si="0"/>
        <v>6695</v>
      </c>
      <c r="D16" s="27">
        <f>575+325+375</f>
        <v>1275</v>
      </c>
      <c r="E16" s="27">
        <f>200+300+575+575+300+375+425+325+575+475+325+475+350+145</f>
        <v>5420</v>
      </c>
      <c r="F16" s="27"/>
      <c r="G16" s="27"/>
      <c r="H16" s="27"/>
    </row>
    <row r="17" spans="1:8" ht="15" customHeight="1" x14ac:dyDescent="0.2">
      <c r="A17" s="29">
        <v>8</v>
      </c>
      <c r="B17" s="29" t="s">
        <v>362</v>
      </c>
      <c r="C17" s="31">
        <f t="shared" si="0"/>
        <v>6650</v>
      </c>
      <c r="D17" s="27">
        <f>575+300+300+375+250</f>
        <v>1800</v>
      </c>
      <c r="E17" s="27">
        <f>250+325+145+250+325+160+300+145+425+475+325+350+575+225+350+225</f>
        <v>4850</v>
      </c>
      <c r="F17" s="27"/>
      <c r="G17" s="27"/>
      <c r="H17" s="27"/>
    </row>
    <row r="18" spans="1:8" ht="15" customHeight="1" x14ac:dyDescent="0.2">
      <c r="A18" s="29">
        <v>9</v>
      </c>
      <c r="B18" s="29" t="s">
        <v>372</v>
      </c>
      <c r="C18" s="31">
        <f t="shared" si="0"/>
        <v>6465</v>
      </c>
      <c r="D18" s="27">
        <f>200+425+425+250+250+350+115</f>
        <v>2015</v>
      </c>
      <c r="E18" s="27">
        <f>425+575+375+225+375+175+375+275+325+250+275+225+325+250</f>
        <v>4450</v>
      </c>
      <c r="F18" s="27"/>
      <c r="G18" s="27"/>
      <c r="H18" s="27"/>
    </row>
    <row r="19" spans="1:8" ht="15" customHeight="1" x14ac:dyDescent="0.2">
      <c r="A19" s="29">
        <v>10</v>
      </c>
      <c r="B19" s="29" t="s">
        <v>363</v>
      </c>
      <c r="C19" s="31">
        <f t="shared" si="0"/>
        <v>4985</v>
      </c>
      <c r="D19" s="27">
        <f>350+275+325+325+275+425</f>
        <v>1975</v>
      </c>
      <c r="E19" s="27">
        <f>425+375+350+350+160+425+350+575</f>
        <v>3010</v>
      </c>
      <c r="F19" s="27"/>
      <c r="G19" s="27"/>
      <c r="H19" s="27"/>
    </row>
    <row r="20" spans="1:8" ht="15" customHeight="1" x14ac:dyDescent="0.2">
      <c r="A20" s="29">
        <v>11</v>
      </c>
      <c r="B20" s="29" t="s">
        <v>199</v>
      </c>
      <c r="C20" s="30">
        <f t="shared" si="0"/>
        <v>3895</v>
      </c>
      <c r="D20" s="27">
        <f>275+475+475+475+250</f>
        <v>1950</v>
      </c>
      <c r="E20" s="27">
        <f>225+475+275+250+145+575</f>
        <v>1945</v>
      </c>
      <c r="F20" s="27"/>
      <c r="G20" s="27"/>
      <c r="H20" s="27"/>
    </row>
    <row r="21" spans="1:8" ht="15" customHeight="1" x14ac:dyDescent="0.2">
      <c r="A21" s="29">
        <v>12</v>
      </c>
      <c r="B21" s="29" t="s">
        <v>374</v>
      </c>
      <c r="C21" s="30">
        <f t="shared" si="0"/>
        <v>3870</v>
      </c>
      <c r="D21" s="27">
        <f>275+425+175</f>
        <v>875</v>
      </c>
      <c r="E21" s="27">
        <f>575+475+145+300+325+575+350+250</f>
        <v>2995</v>
      </c>
      <c r="F21" s="27"/>
      <c r="G21" s="27"/>
      <c r="H21" s="27"/>
    </row>
    <row r="22" spans="1:8" ht="15" customHeight="1" x14ac:dyDescent="0.2">
      <c r="A22" s="29">
        <v>13</v>
      </c>
      <c r="B22" s="29" t="s">
        <v>364</v>
      </c>
      <c r="C22" s="30">
        <f t="shared" si="0"/>
        <v>3295</v>
      </c>
      <c r="D22" s="27">
        <f>300+225+425</f>
        <v>950</v>
      </c>
      <c r="E22" s="27">
        <f>160+275+375+375+175+575+250+160</f>
        <v>2345</v>
      </c>
      <c r="F22" s="27"/>
      <c r="G22" s="27"/>
      <c r="H22" s="27"/>
    </row>
    <row r="23" spans="1:8" ht="15" customHeight="1" x14ac:dyDescent="0.2">
      <c r="A23" s="29">
        <v>14</v>
      </c>
      <c r="B23" s="29" t="s">
        <v>365</v>
      </c>
      <c r="C23" s="30">
        <f t="shared" si="0"/>
        <v>3235</v>
      </c>
      <c r="D23" s="27">
        <f>250+160+225</f>
        <v>635</v>
      </c>
      <c r="E23" s="27">
        <f>175+250+425+350+160+375+275+475+115</f>
        <v>2600</v>
      </c>
      <c r="F23" s="27"/>
      <c r="G23" s="27"/>
      <c r="H23" s="27"/>
    </row>
    <row r="24" spans="1:8" ht="15" customHeight="1" x14ac:dyDescent="0.2">
      <c r="A24" s="29">
        <v>15</v>
      </c>
      <c r="B24" s="29" t="s">
        <v>395</v>
      </c>
      <c r="C24" s="30">
        <f t="shared" si="0"/>
        <v>3195</v>
      </c>
      <c r="D24" s="27">
        <f>575+200+225</f>
        <v>1000</v>
      </c>
      <c r="E24" s="27">
        <f>475+475+425+200+300+145+175</f>
        <v>2195</v>
      </c>
      <c r="F24" s="27"/>
      <c r="G24" s="27"/>
      <c r="H24" s="27"/>
    </row>
    <row r="25" spans="1:8" ht="15" customHeight="1" x14ac:dyDescent="0.2">
      <c r="A25" s="29">
        <v>16</v>
      </c>
      <c r="B25" s="29" t="s">
        <v>229</v>
      </c>
      <c r="C25" s="30">
        <f t="shared" si="0"/>
        <v>3050</v>
      </c>
      <c r="D25" s="27">
        <f>300+325+325</f>
        <v>950</v>
      </c>
      <c r="E25" s="27">
        <f>425+300+425+575+375</f>
        <v>2100</v>
      </c>
      <c r="F25" s="27"/>
      <c r="G25" s="27"/>
      <c r="H25" s="27"/>
    </row>
    <row r="26" spans="1:8" ht="15" customHeight="1" x14ac:dyDescent="0.2">
      <c r="A26" s="29">
        <v>17</v>
      </c>
      <c r="B26" s="29" t="s">
        <v>249</v>
      </c>
      <c r="C26" s="30">
        <f t="shared" si="0"/>
        <v>3015</v>
      </c>
      <c r="D26" s="27">
        <f>425+145+575</f>
        <v>1145</v>
      </c>
      <c r="E26" s="27">
        <f>425+575+425+145+300</f>
        <v>1870</v>
      </c>
      <c r="F26" s="27"/>
      <c r="G26" s="27"/>
      <c r="H26" s="27"/>
    </row>
    <row r="27" spans="1:8" ht="15" customHeight="1" x14ac:dyDescent="0.2">
      <c r="A27" s="29">
        <v>18</v>
      </c>
      <c r="B27" s="29" t="s">
        <v>358</v>
      </c>
      <c r="C27" s="30">
        <f t="shared" si="0"/>
        <v>2935</v>
      </c>
      <c r="D27" s="27">
        <f>325+350+160+325</f>
        <v>1160</v>
      </c>
      <c r="E27" s="27">
        <f>350+300+225+475+425</f>
        <v>1775</v>
      </c>
      <c r="F27" s="27"/>
      <c r="G27" s="27"/>
      <c r="H27" s="27"/>
    </row>
    <row r="28" spans="1:8" ht="15" customHeight="1" x14ac:dyDescent="0.2">
      <c r="A28" s="29">
        <v>19</v>
      </c>
      <c r="B28" s="29" t="s">
        <v>369</v>
      </c>
      <c r="C28" s="30">
        <f t="shared" si="0"/>
        <v>2860</v>
      </c>
      <c r="D28" s="27">
        <f>130+200+225+325+130</f>
        <v>1010</v>
      </c>
      <c r="E28" s="27">
        <f>300+300+325+375+325+225</f>
        <v>1850</v>
      </c>
      <c r="F28" s="27"/>
      <c r="G28" s="27"/>
      <c r="H28" s="27"/>
    </row>
    <row r="29" spans="1:8" ht="15" customHeight="1" x14ac:dyDescent="0.2">
      <c r="A29" s="29">
        <v>20</v>
      </c>
      <c r="B29" s="29" t="s">
        <v>373</v>
      </c>
      <c r="C29" s="30">
        <f t="shared" si="0"/>
        <v>2815</v>
      </c>
      <c r="D29" s="27">
        <f>325+375</f>
        <v>700</v>
      </c>
      <c r="E29" s="27">
        <f>200+250+200+475+475+225+145+145</f>
        <v>2115</v>
      </c>
      <c r="F29" s="27"/>
      <c r="G29" s="27"/>
      <c r="H29" s="27"/>
    </row>
    <row r="30" spans="1:8" ht="15" customHeight="1" x14ac:dyDescent="0.2">
      <c r="A30" s="29">
        <v>21</v>
      </c>
      <c r="B30" s="29" t="s">
        <v>359</v>
      </c>
      <c r="C30" s="30">
        <f t="shared" si="0"/>
        <v>2800</v>
      </c>
      <c r="D30" s="27">
        <f>145+175+175+475</f>
        <v>970</v>
      </c>
      <c r="E30" s="27">
        <f>275+250+325+175+130+250+425</f>
        <v>1830</v>
      </c>
      <c r="F30" s="27"/>
      <c r="G30" s="27"/>
      <c r="H30" s="27"/>
    </row>
    <row r="31" spans="1:8" ht="15" customHeight="1" x14ac:dyDescent="0.2">
      <c r="A31" s="29">
        <v>22</v>
      </c>
      <c r="B31" s="29" t="s">
        <v>344</v>
      </c>
      <c r="C31" s="30">
        <f t="shared" si="0"/>
        <v>2790</v>
      </c>
      <c r="D31" s="27">
        <f>115+130+175+130</f>
        <v>550</v>
      </c>
      <c r="E31" s="27">
        <f>325+375+375+115+225+575+250</f>
        <v>2240</v>
      </c>
      <c r="F31" s="27"/>
      <c r="G31" s="27"/>
      <c r="H31" s="27"/>
    </row>
    <row r="32" spans="1:8" ht="15" customHeight="1" x14ac:dyDescent="0.2">
      <c r="A32" s="29">
        <v>23</v>
      </c>
      <c r="B32" s="29" t="s">
        <v>313</v>
      </c>
      <c r="C32" s="30">
        <f t="shared" si="0"/>
        <v>2710</v>
      </c>
      <c r="D32" s="27">
        <f>575+130+425</f>
        <v>1130</v>
      </c>
      <c r="E32" s="27">
        <f>275+325+475+130+375</f>
        <v>1580</v>
      </c>
      <c r="F32" s="27"/>
      <c r="G32" s="27"/>
      <c r="H32" s="27"/>
    </row>
    <row r="33" spans="1:8" ht="15" customHeight="1" x14ac:dyDescent="0.2">
      <c r="A33" s="29">
        <v>24</v>
      </c>
      <c r="B33" s="29" t="s">
        <v>320</v>
      </c>
      <c r="C33" s="30">
        <f t="shared" si="0"/>
        <v>2665</v>
      </c>
      <c r="D33" s="27">
        <f>475+375+350</f>
        <v>1200</v>
      </c>
      <c r="E33" s="27">
        <f>115+475+275+325+275</f>
        <v>1465</v>
      </c>
      <c r="F33" s="27"/>
      <c r="G33" s="27"/>
      <c r="H33" s="27"/>
    </row>
    <row r="34" spans="1:8" ht="15" customHeight="1" x14ac:dyDescent="0.2">
      <c r="A34" s="29">
        <v>25</v>
      </c>
      <c r="B34" s="29" t="s">
        <v>407</v>
      </c>
      <c r="C34" s="30">
        <f t="shared" si="0"/>
        <v>2575</v>
      </c>
      <c r="D34" s="27">
        <v>0</v>
      </c>
      <c r="E34" s="27">
        <f>130+575+575+575+250+145+325</f>
        <v>2575</v>
      </c>
      <c r="F34" s="27"/>
      <c r="G34" s="27"/>
      <c r="H34" s="27"/>
    </row>
    <row r="35" spans="1:8" ht="15" customHeight="1" x14ac:dyDescent="0.2">
      <c r="A35" s="29">
        <v>26</v>
      </c>
      <c r="B35" s="29" t="s">
        <v>288</v>
      </c>
      <c r="C35" s="30">
        <f t="shared" si="0"/>
        <v>2555</v>
      </c>
      <c r="D35" s="27">
        <f>130+475+200</f>
        <v>805</v>
      </c>
      <c r="E35" s="27">
        <f>325+375+475+575</f>
        <v>1750</v>
      </c>
      <c r="F35" s="27"/>
      <c r="G35" s="27"/>
      <c r="H35" s="27"/>
    </row>
    <row r="36" spans="1:8" ht="15" customHeight="1" x14ac:dyDescent="0.2">
      <c r="A36" s="29">
        <v>27</v>
      </c>
      <c r="B36" s="29" t="s">
        <v>248</v>
      </c>
      <c r="C36" s="30">
        <f t="shared" si="0"/>
        <v>2315</v>
      </c>
      <c r="D36" s="27">
        <f>250+300+275</f>
        <v>825</v>
      </c>
      <c r="E36" s="27">
        <f>200+130+200+225+160+300+275</f>
        <v>1490</v>
      </c>
      <c r="F36" s="27"/>
      <c r="G36" s="27"/>
      <c r="H36" s="27"/>
    </row>
    <row r="37" spans="1:8" ht="15" customHeight="1" x14ac:dyDescent="0.2">
      <c r="A37" s="29">
        <v>28</v>
      </c>
      <c r="B37" s="29" t="s">
        <v>299</v>
      </c>
      <c r="C37" s="30">
        <f t="shared" si="0"/>
        <v>2290</v>
      </c>
      <c r="D37" s="27">
        <f>350+225+225</f>
        <v>800</v>
      </c>
      <c r="E37" s="27">
        <f>275+225+275+115+250+350</f>
        <v>1490</v>
      </c>
      <c r="F37" s="27"/>
      <c r="G37" s="27"/>
      <c r="H37" s="27"/>
    </row>
    <row r="38" spans="1:8" ht="15" customHeight="1" x14ac:dyDescent="0.2">
      <c r="A38" s="29">
        <v>29</v>
      </c>
      <c r="B38" s="29" t="s">
        <v>338</v>
      </c>
      <c r="C38" s="30">
        <f t="shared" si="0"/>
        <v>2265</v>
      </c>
      <c r="D38" s="27">
        <f>175+175+475</f>
        <v>825</v>
      </c>
      <c r="E38" s="27">
        <f>475+130+250+425+160</f>
        <v>1440</v>
      </c>
      <c r="F38" s="27"/>
      <c r="G38" s="27"/>
      <c r="H38" s="27"/>
    </row>
    <row r="39" spans="1:8" ht="15" customHeight="1" x14ac:dyDescent="0.2">
      <c r="A39" s="29">
        <v>30</v>
      </c>
      <c r="B39" s="29" t="s">
        <v>400</v>
      </c>
      <c r="C39" s="30">
        <f t="shared" si="0"/>
        <v>2225</v>
      </c>
      <c r="D39" s="27">
        <f>225</f>
        <v>225</v>
      </c>
      <c r="E39" s="27">
        <f>475+475+225+475+350</f>
        <v>2000</v>
      </c>
      <c r="F39" s="27"/>
      <c r="G39" s="27"/>
      <c r="H39" s="27"/>
    </row>
    <row r="40" spans="1:8" ht="15" customHeight="1" x14ac:dyDescent="0.2">
      <c r="A40" s="29">
        <v>31</v>
      </c>
      <c r="B40" s="29" t="s">
        <v>268</v>
      </c>
      <c r="C40" s="30">
        <f t="shared" si="0"/>
        <v>2130</v>
      </c>
      <c r="D40" s="27">
        <f>145+275+250</f>
        <v>670</v>
      </c>
      <c r="E40" s="27">
        <f>375+175+160+425+325</f>
        <v>1460</v>
      </c>
      <c r="F40" s="27"/>
      <c r="G40" s="27"/>
      <c r="H40" s="27"/>
    </row>
    <row r="41" spans="1:8" ht="15" customHeight="1" x14ac:dyDescent="0.2">
      <c r="A41" s="29">
        <v>32</v>
      </c>
      <c r="B41" s="29" t="s">
        <v>228</v>
      </c>
      <c r="C41" s="30">
        <f t="shared" si="0"/>
        <v>1950</v>
      </c>
      <c r="D41" s="27">
        <f>475</f>
        <v>475</v>
      </c>
      <c r="E41" s="27">
        <f>425+475+575</f>
        <v>1475</v>
      </c>
      <c r="F41" s="27"/>
      <c r="G41" s="27"/>
      <c r="H41" s="27"/>
    </row>
    <row r="42" spans="1:8" ht="15" customHeight="1" x14ac:dyDescent="0.2">
      <c r="A42" s="29">
        <v>33</v>
      </c>
      <c r="B42" s="29" t="s">
        <v>336</v>
      </c>
      <c r="C42" s="30">
        <f t="shared" ref="C42:C73" si="1">SUM(D42:H42)</f>
        <v>1925</v>
      </c>
      <c r="D42" s="27">
        <f>425+145+300</f>
        <v>870</v>
      </c>
      <c r="E42" s="27">
        <f>250+475+200+130</f>
        <v>1055</v>
      </c>
      <c r="F42" s="27"/>
      <c r="G42" s="27"/>
      <c r="H42" s="27"/>
    </row>
    <row r="43" spans="1:8" ht="15" customHeight="1" x14ac:dyDescent="0.2">
      <c r="A43" s="29">
        <v>33</v>
      </c>
      <c r="B43" s="29" t="s">
        <v>429</v>
      </c>
      <c r="C43" s="30">
        <f t="shared" si="1"/>
        <v>1925</v>
      </c>
      <c r="D43" s="27">
        <v>0</v>
      </c>
      <c r="E43" s="27">
        <f>375+575+375+300+300</f>
        <v>1925</v>
      </c>
      <c r="F43" s="27"/>
      <c r="G43" s="27"/>
      <c r="H43" s="27"/>
    </row>
    <row r="44" spans="1:8" ht="15" customHeight="1" x14ac:dyDescent="0.2">
      <c r="A44" s="29">
        <v>34</v>
      </c>
      <c r="B44" s="29" t="s">
        <v>346</v>
      </c>
      <c r="C44" s="30">
        <f t="shared" si="1"/>
        <v>1900</v>
      </c>
      <c r="D44" s="27">
        <f>115+325</f>
        <v>440</v>
      </c>
      <c r="E44" s="27">
        <f>250+250+225+160+575</f>
        <v>1460</v>
      </c>
      <c r="F44" s="27"/>
      <c r="G44" s="27"/>
      <c r="H44" s="27"/>
    </row>
    <row r="45" spans="1:8" ht="15" customHeight="1" x14ac:dyDescent="0.2">
      <c r="A45" s="29">
        <v>35</v>
      </c>
      <c r="B45" s="29" t="s">
        <v>296</v>
      </c>
      <c r="C45" s="30">
        <f t="shared" si="1"/>
        <v>1770</v>
      </c>
      <c r="D45" s="27">
        <f>115</f>
        <v>115</v>
      </c>
      <c r="E45" s="27">
        <f>175+300+130+275+575+200</f>
        <v>1655</v>
      </c>
      <c r="F45" s="27"/>
      <c r="G45" s="27"/>
      <c r="H45" s="27"/>
    </row>
    <row r="46" spans="1:8" ht="15" customHeight="1" x14ac:dyDescent="0.2">
      <c r="A46" s="29">
        <v>35</v>
      </c>
      <c r="B46" s="29" t="s">
        <v>390</v>
      </c>
      <c r="C46" s="30">
        <f t="shared" si="1"/>
        <v>1770</v>
      </c>
      <c r="D46" s="27">
        <f>145</f>
        <v>145</v>
      </c>
      <c r="E46" s="27">
        <f>350+475+375+425</f>
        <v>1625</v>
      </c>
      <c r="F46" s="27"/>
      <c r="G46" s="27"/>
      <c r="H46" s="27"/>
    </row>
    <row r="47" spans="1:8" ht="15" customHeight="1" x14ac:dyDescent="0.2">
      <c r="A47" s="29">
        <v>36</v>
      </c>
      <c r="B47" s="29" t="s">
        <v>201</v>
      </c>
      <c r="C47" s="30">
        <f t="shared" si="1"/>
        <v>1685</v>
      </c>
      <c r="D47" s="27">
        <f>350</f>
        <v>350</v>
      </c>
      <c r="E47" s="27">
        <f>300+575+300+160</f>
        <v>1335</v>
      </c>
      <c r="F47" s="27"/>
      <c r="G47" s="27"/>
      <c r="H47" s="27"/>
    </row>
    <row r="48" spans="1:8" ht="15" customHeight="1" x14ac:dyDescent="0.2">
      <c r="A48" s="29">
        <v>37</v>
      </c>
      <c r="B48" s="29" t="s">
        <v>334</v>
      </c>
      <c r="C48" s="30">
        <f t="shared" si="1"/>
        <v>1645</v>
      </c>
      <c r="D48" s="27">
        <f>375+350</f>
        <v>725</v>
      </c>
      <c r="E48" s="27">
        <f>300+145+475</f>
        <v>920</v>
      </c>
      <c r="F48" s="27"/>
      <c r="G48" s="27"/>
      <c r="H48" s="27"/>
    </row>
    <row r="49" spans="1:8" ht="15" customHeight="1" x14ac:dyDescent="0.2">
      <c r="A49" s="29">
        <v>38</v>
      </c>
      <c r="B49" s="29" t="s">
        <v>367</v>
      </c>
      <c r="C49" s="30">
        <f t="shared" si="1"/>
        <v>1635</v>
      </c>
      <c r="D49" s="27">
        <f>160+350</f>
        <v>510</v>
      </c>
      <c r="E49" s="27">
        <f>325+425+375</f>
        <v>1125</v>
      </c>
      <c r="F49" s="27"/>
      <c r="G49" s="27"/>
      <c r="H49" s="27"/>
    </row>
    <row r="50" spans="1:8" ht="15" customHeight="1" x14ac:dyDescent="0.2">
      <c r="A50" s="29">
        <v>39</v>
      </c>
      <c r="B50" s="29" t="s">
        <v>333</v>
      </c>
      <c r="C50" s="30">
        <f t="shared" si="1"/>
        <v>1590</v>
      </c>
      <c r="D50" s="27">
        <f>225+200+300</f>
        <v>725</v>
      </c>
      <c r="E50" s="27">
        <f>200+350+200+115</f>
        <v>865</v>
      </c>
      <c r="F50" s="27"/>
      <c r="G50" s="27"/>
      <c r="H50" s="27"/>
    </row>
    <row r="51" spans="1:8" ht="15" customHeight="1" x14ac:dyDescent="0.2">
      <c r="A51" s="29">
        <v>40</v>
      </c>
      <c r="B51" s="29" t="s">
        <v>345</v>
      </c>
      <c r="C51" s="30">
        <f t="shared" si="1"/>
        <v>1585</v>
      </c>
      <c r="D51" s="27">
        <f>200</f>
        <v>200</v>
      </c>
      <c r="E51" s="27">
        <f>575+160+225+425</f>
        <v>1385</v>
      </c>
      <c r="F51" s="27"/>
      <c r="G51" s="27"/>
      <c r="H51" s="27"/>
    </row>
    <row r="52" spans="1:8" ht="15" customHeight="1" x14ac:dyDescent="0.2">
      <c r="A52" s="29">
        <v>41</v>
      </c>
      <c r="B52" s="29" t="s">
        <v>342</v>
      </c>
      <c r="C52" s="30">
        <f t="shared" si="1"/>
        <v>1450</v>
      </c>
      <c r="D52" s="27">
        <f>375+350</f>
        <v>725</v>
      </c>
      <c r="E52" s="27">
        <f>275+145+130+175</f>
        <v>725</v>
      </c>
      <c r="F52" s="27"/>
      <c r="G52" s="27"/>
      <c r="H52" s="27"/>
    </row>
    <row r="53" spans="1:8" ht="15" customHeight="1" x14ac:dyDescent="0.2">
      <c r="A53" s="29">
        <v>42</v>
      </c>
      <c r="B53" s="29" t="s">
        <v>397</v>
      </c>
      <c r="C53" s="30">
        <f t="shared" si="1"/>
        <v>1420</v>
      </c>
      <c r="D53" s="27">
        <f>145</f>
        <v>145</v>
      </c>
      <c r="E53" s="27">
        <f>275+225+225+250+300</f>
        <v>1275</v>
      </c>
      <c r="F53" s="27"/>
      <c r="G53" s="27"/>
      <c r="H53" s="27"/>
    </row>
    <row r="54" spans="1:8" ht="15" customHeight="1" x14ac:dyDescent="0.2">
      <c r="A54" s="29">
        <v>43</v>
      </c>
      <c r="B54" s="29" t="s">
        <v>303</v>
      </c>
      <c r="C54" s="30">
        <f t="shared" si="1"/>
        <v>1310</v>
      </c>
      <c r="D54" s="27">
        <f>325+160</f>
        <v>485</v>
      </c>
      <c r="E54" s="27">
        <f>375+200+250</f>
        <v>825</v>
      </c>
      <c r="F54" s="27"/>
      <c r="G54" s="27"/>
      <c r="H54" s="27"/>
    </row>
    <row r="55" spans="1:8" ht="15" customHeight="1" x14ac:dyDescent="0.2">
      <c r="A55" s="29">
        <v>44</v>
      </c>
      <c r="B55" s="29" t="s">
        <v>399</v>
      </c>
      <c r="C55" s="30">
        <f t="shared" si="1"/>
        <v>1275</v>
      </c>
      <c r="D55" s="27">
        <f>575</f>
        <v>575</v>
      </c>
      <c r="E55" s="27">
        <f>350+350</f>
        <v>700</v>
      </c>
      <c r="F55" s="27"/>
      <c r="G55" s="27"/>
      <c r="H55" s="27"/>
    </row>
    <row r="56" spans="1:8" ht="15" customHeight="1" x14ac:dyDescent="0.2">
      <c r="A56" s="29">
        <v>44</v>
      </c>
      <c r="B56" s="29" t="s">
        <v>308</v>
      </c>
      <c r="C56" s="30">
        <f t="shared" si="1"/>
        <v>1275</v>
      </c>
      <c r="D56" s="27">
        <f>175</f>
        <v>175</v>
      </c>
      <c r="E56" s="27">
        <f>375+250+475</f>
        <v>1100</v>
      </c>
      <c r="F56" s="27"/>
      <c r="G56" s="27"/>
      <c r="H56" s="27"/>
    </row>
    <row r="57" spans="1:8" ht="15" customHeight="1" x14ac:dyDescent="0.2">
      <c r="A57" s="29">
        <v>44</v>
      </c>
      <c r="B57" s="29" t="s">
        <v>283</v>
      </c>
      <c r="C57" s="30">
        <f t="shared" si="1"/>
        <v>1275</v>
      </c>
      <c r="D57" s="27">
        <f>250</f>
        <v>250</v>
      </c>
      <c r="E57" s="27">
        <f>130+145+475+275</f>
        <v>1025</v>
      </c>
      <c r="F57" s="27"/>
      <c r="G57" s="27"/>
      <c r="H57" s="27"/>
    </row>
    <row r="58" spans="1:8" ht="15" customHeight="1" x14ac:dyDescent="0.2">
      <c r="A58" s="29">
        <v>45</v>
      </c>
      <c r="B58" s="29" t="s">
        <v>387</v>
      </c>
      <c r="C58" s="30">
        <f t="shared" si="1"/>
        <v>1235</v>
      </c>
      <c r="D58" s="27">
        <f>175</f>
        <v>175</v>
      </c>
      <c r="E58" s="27">
        <f>475+425+160</f>
        <v>1060</v>
      </c>
      <c r="F58" s="27"/>
      <c r="G58" s="27"/>
      <c r="H58" s="27"/>
    </row>
    <row r="59" spans="1:8" ht="15" customHeight="1" x14ac:dyDescent="0.2">
      <c r="A59" s="29">
        <v>46</v>
      </c>
      <c r="B59" s="29" t="s">
        <v>294</v>
      </c>
      <c r="C59" s="30">
        <f t="shared" si="1"/>
        <v>1215</v>
      </c>
      <c r="D59" s="27">
        <f>575+145</f>
        <v>720</v>
      </c>
      <c r="E59" s="27">
        <f>145+350</f>
        <v>495</v>
      </c>
      <c r="F59" s="27"/>
      <c r="G59" s="27"/>
      <c r="H59" s="27"/>
    </row>
    <row r="60" spans="1:8" ht="15" customHeight="1" x14ac:dyDescent="0.2">
      <c r="A60" s="29">
        <v>47</v>
      </c>
      <c r="B60" s="29" t="s">
        <v>460</v>
      </c>
      <c r="C60" s="30">
        <f t="shared" si="1"/>
        <v>1200</v>
      </c>
      <c r="D60" s="27">
        <v>0</v>
      </c>
      <c r="E60" s="27">
        <f>175+200+350+475</f>
        <v>1200</v>
      </c>
      <c r="F60" s="27"/>
      <c r="G60" s="27"/>
      <c r="H60" s="27"/>
    </row>
    <row r="61" spans="1:8" ht="15" customHeight="1" x14ac:dyDescent="0.2">
      <c r="A61" s="29">
        <v>48</v>
      </c>
      <c r="B61" s="29" t="s">
        <v>348</v>
      </c>
      <c r="C61" s="30">
        <f t="shared" si="1"/>
        <v>1185</v>
      </c>
      <c r="D61" s="27">
        <f>160+250</f>
        <v>410</v>
      </c>
      <c r="E61" s="27">
        <f>350+250+175</f>
        <v>775</v>
      </c>
      <c r="F61" s="27"/>
      <c r="G61" s="27"/>
      <c r="H61" s="27"/>
    </row>
    <row r="62" spans="1:8" ht="15" customHeight="1" x14ac:dyDescent="0.2">
      <c r="A62" s="29">
        <v>49</v>
      </c>
      <c r="B62" s="29" t="s">
        <v>391</v>
      </c>
      <c r="C62" s="30">
        <f t="shared" si="1"/>
        <v>1180</v>
      </c>
      <c r="D62" s="27">
        <f>130</f>
        <v>130</v>
      </c>
      <c r="E62" s="27">
        <f>275+300+475</f>
        <v>1050</v>
      </c>
      <c r="F62" s="27"/>
      <c r="G62" s="27"/>
      <c r="H62" s="27"/>
    </row>
    <row r="63" spans="1:8" ht="15" customHeight="1" x14ac:dyDescent="0.2">
      <c r="A63" s="29">
        <v>50</v>
      </c>
      <c r="B63" s="29" t="s">
        <v>382</v>
      </c>
      <c r="C63" s="30">
        <f t="shared" si="1"/>
        <v>1155</v>
      </c>
      <c r="D63" s="27">
        <f>375</f>
        <v>375</v>
      </c>
      <c r="E63" s="27">
        <f>130+325+325</f>
        <v>780</v>
      </c>
      <c r="F63" s="27"/>
      <c r="G63" s="27"/>
      <c r="H63" s="27"/>
    </row>
    <row r="64" spans="1:8" ht="15" customHeight="1" x14ac:dyDescent="0.2">
      <c r="A64" s="29">
        <v>51</v>
      </c>
      <c r="B64" s="29" t="s">
        <v>385</v>
      </c>
      <c r="C64" s="30">
        <f t="shared" si="1"/>
        <v>1125</v>
      </c>
      <c r="D64" s="27">
        <f>300</f>
        <v>300</v>
      </c>
      <c r="E64" s="27">
        <f>300+175+350</f>
        <v>825</v>
      </c>
      <c r="F64" s="27"/>
      <c r="G64" s="27"/>
      <c r="H64" s="27"/>
    </row>
    <row r="65" spans="1:8" ht="15" customHeight="1" x14ac:dyDescent="0.2">
      <c r="A65" s="29">
        <v>52</v>
      </c>
      <c r="B65" s="29" t="s">
        <v>65</v>
      </c>
      <c r="C65" s="30">
        <f t="shared" si="1"/>
        <v>1075</v>
      </c>
      <c r="D65" s="27">
        <f>250</f>
        <v>250</v>
      </c>
      <c r="E65" s="27">
        <f>175+175+275+200</f>
        <v>825</v>
      </c>
      <c r="F65" s="27"/>
      <c r="G65" s="27"/>
      <c r="H65" s="27"/>
    </row>
    <row r="66" spans="1:8" ht="15" customHeight="1" x14ac:dyDescent="0.2">
      <c r="A66" s="29">
        <v>53</v>
      </c>
      <c r="B66" s="29" t="s">
        <v>389</v>
      </c>
      <c r="C66" s="30">
        <f t="shared" si="1"/>
        <v>1060</v>
      </c>
      <c r="D66" s="27">
        <f>160</f>
        <v>160</v>
      </c>
      <c r="E66" s="27">
        <f>325+275+300</f>
        <v>900</v>
      </c>
      <c r="F66" s="27"/>
      <c r="G66" s="27"/>
      <c r="H66" s="27"/>
    </row>
    <row r="67" spans="1:8" ht="15" customHeight="1" x14ac:dyDescent="0.2">
      <c r="A67" s="29">
        <v>54</v>
      </c>
      <c r="B67" s="29" t="s">
        <v>381</v>
      </c>
      <c r="C67" s="30">
        <f t="shared" si="1"/>
        <v>1045</v>
      </c>
      <c r="D67" s="27">
        <f>425</f>
        <v>425</v>
      </c>
      <c r="E67" s="27">
        <f>145+475</f>
        <v>620</v>
      </c>
      <c r="F67" s="27"/>
      <c r="G67" s="27"/>
      <c r="H67" s="27"/>
    </row>
    <row r="68" spans="1:8" ht="15" customHeight="1" x14ac:dyDescent="0.2">
      <c r="A68" s="29">
        <v>55</v>
      </c>
      <c r="B68" s="29" t="s">
        <v>410</v>
      </c>
      <c r="C68" s="30">
        <f t="shared" si="1"/>
        <v>950</v>
      </c>
      <c r="D68" s="27">
        <v>0</v>
      </c>
      <c r="E68" s="27">
        <f>250+275+425</f>
        <v>950</v>
      </c>
      <c r="F68" s="27"/>
      <c r="G68" s="27"/>
      <c r="H68" s="27"/>
    </row>
    <row r="69" spans="1:8" ht="15" customHeight="1" x14ac:dyDescent="0.2">
      <c r="A69" s="29">
        <v>56</v>
      </c>
      <c r="B69" s="29" t="s">
        <v>418</v>
      </c>
      <c r="C69" s="30">
        <f t="shared" si="1"/>
        <v>945</v>
      </c>
      <c r="D69" s="27">
        <v>0</v>
      </c>
      <c r="E69" s="27">
        <f>225+325+145+250</f>
        <v>945</v>
      </c>
      <c r="F69" s="27"/>
      <c r="G69" s="27"/>
      <c r="H69" s="27"/>
    </row>
    <row r="70" spans="1:8" ht="15" customHeight="1" x14ac:dyDescent="0.2">
      <c r="A70" s="29">
        <v>57</v>
      </c>
      <c r="B70" s="29" t="s">
        <v>458</v>
      </c>
      <c r="C70" s="30">
        <f t="shared" si="1"/>
        <v>865</v>
      </c>
      <c r="D70" s="27">
        <v>0</v>
      </c>
      <c r="E70" s="27">
        <f>575+115+175</f>
        <v>865</v>
      </c>
      <c r="F70" s="27"/>
      <c r="G70" s="27"/>
      <c r="H70" s="27"/>
    </row>
    <row r="71" spans="1:8" ht="15" customHeight="1" x14ac:dyDescent="0.2">
      <c r="A71" s="29">
        <v>58</v>
      </c>
      <c r="B71" s="29" t="s">
        <v>401</v>
      </c>
      <c r="C71" s="30">
        <f t="shared" si="1"/>
        <v>840</v>
      </c>
      <c r="D71" s="27">
        <f>375</f>
        <v>375</v>
      </c>
      <c r="E71" s="27">
        <f>175+160+130</f>
        <v>465</v>
      </c>
      <c r="F71" s="27"/>
      <c r="G71" s="27"/>
      <c r="H71" s="27"/>
    </row>
    <row r="72" spans="1:8" ht="15" customHeight="1" x14ac:dyDescent="0.2">
      <c r="A72" s="29">
        <v>58</v>
      </c>
      <c r="B72" s="29" t="s">
        <v>450</v>
      </c>
      <c r="C72" s="30">
        <f t="shared" si="1"/>
        <v>840</v>
      </c>
      <c r="D72" s="27">
        <f>175</f>
        <v>175</v>
      </c>
      <c r="E72" s="27">
        <f>115+250+300</f>
        <v>665</v>
      </c>
      <c r="F72" s="27"/>
      <c r="G72" s="27"/>
      <c r="H72" s="27"/>
    </row>
    <row r="73" spans="1:8" ht="15" customHeight="1" x14ac:dyDescent="0.2">
      <c r="A73" s="29">
        <v>59</v>
      </c>
      <c r="B73" s="29" t="s">
        <v>366</v>
      </c>
      <c r="C73" s="30">
        <f t="shared" si="1"/>
        <v>810</v>
      </c>
      <c r="D73" s="27">
        <f>225+325</f>
        <v>550</v>
      </c>
      <c r="E73" s="27">
        <f>130+130</f>
        <v>260</v>
      </c>
      <c r="F73" s="27"/>
      <c r="G73" s="27"/>
      <c r="H73" s="27"/>
    </row>
    <row r="74" spans="1:8" ht="15" customHeight="1" x14ac:dyDescent="0.2">
      <c r="A74" s="29">
        <v>60</v>
      </c>
      <c r="B74" s="29" t="s">
        <v>292</v>
      </c>
      <c r="C74" s="30">
        <f t="shared" ref="C74:C105" si="2">SUM(D74:H74)</f>
        <v>790</v>
      </c>
      <c r="D74" s="27">
        <v>0</v>
      </c>
      <c r="E74" s="27">
        <f>250+115+425</f>
        <v>790</v>
      </c>
      <c r="F74" s="27"/>
      <c r="G74" s="27"/>
      <c r="H74" s="27"/>
    </row>
    <row r="75" spans="1:8" ht="15" customHeight="1" x14ac:dyDescent="0.2">
      <c r="A75" s="29">
        <v>61</v>
      </c>
      <c r="B75" s="29" t="s">
        <v>428</v>
      </c>
      <c r="C75" s="30">
        <f t="shared" si="2"/>
        <v>760</v>
      </c>
      <c r="D75" s="27">
        <v>0</v>
      </c>
      <c r="E75" s="27">
        <f>160+425+175</f>
        <v>760</v>
      </c>
      <c r="F75" s="27"/>
      <c r="G75" s="27"/>
      <c r="H75" s="27"/>
    </row>
    <row r="76" spans="1:8" ht="15" customHeight="1" x14ac:dyDescent="0.2">
      <c r="A76" s="29">
        <v>62</v>
      </c>
      <c r="B76" s="29" t="s">
        <v>394</v>
      </c>
      <c r="C76" s="30">
        <f t="shared" si="2"/>
        <v>750</v>
      </c>
      <c r="D76" s="27">
        <f>250</f>
        <v>250</v>
      </c>
      <c r="E76" s="27">
        <f>275+225</f>
        <v>500</v>
      </c>
      <c r="F76" s="27"/>
      <c r="G76" s="27"/>
      <c r="H76" s="27"/>
    </row>
    <row r="77" spans="1:8" ht="15" customHeight="1" x14ac:dyDescent="0.2">
      <c r="A77" s="29">
        <v>63</v>
      </c>
      <c r="B77" s="29" t="s">
        <v>447</v>
      </c>
      <c r="C77" s="30">
        <f t="shared" si="2"/>
        <v>725</v>
      </c>
      <c r="D77" s="27">
        <v>0</v>
      </c>
      <c r="E77" s="27">
        <f>375+350</f>
        <v>725</v>
      </c>
      <c r="F77" s="27"/>
      <c r="G77" s="27"/>
      <c r="H77" s="27"/>
    </row>
    <row r="78" spans="1:8" ht="15" customHeight="1" x14ac:dyDescent="0.2">
      <c r="A78" s="29">
        <v>63</v>
      </c>
      <c r="B78" s="29" t="s">
        <v>380</v>
      </c>
      <c r="C78" s="30">
        <f t="shared" si="2"/>
        <v>725</v>
      </c>
      <c r="D78" s="27">
        <f>475</f>
        <v>475</v>
      </c>
      <c r="E78" s="27">
        <f>250</f>
        <v>250</v>
      </c>
      <c r="F78" s="27"/>
      <c r="G78" s="27"/>
      <c r="H78" s="27"/>
    </row>
    <row r="79" spans="1:8" ht="15" customHeight="1" x14ac:dyDescent="0.2">
      <c r="A79" s="29">
        <v>64</v>
      </c>
      <c r="B79" s="29" t="s">
        <v>455</v>
      </c>
      <c r="C79" s="30">
        <f t="shared" si="2"/>
        <v>675</v>
      </c>
      <c r="D79" s="27">
        <f>475</f>
        <v>475</v>
      </c>
      <c r="E79" s="27">
        <f>200</f>
        <v>200</v>
      </c>
      <c r="F79" s="27"/>
      <c r="G79" s="27"/>
      <c r="H79" s="27"/>
    </row>
    <row r="80" spans="1:8" ht="15" customHeight="1" x14ac:dyDescent="0.2">
      <c r="A80" s="28"/>
      <c r="B80" s="28" t="s">
        <v>375</v>
      </c>
      <c r="C80" s="27">
        <f t="shared" si="2"/>
        <v>660</v>
      </c>
      <c r="D80" s="27">
        <f>225</f>
        <v>225</v>
      </c>
      <c r="E80" s="27">
        <f>275+160</f>
        <v>435</v>
      </c>
      <c r="F80" s="27"/>
      <c r="G80" s="27"/>
      <c r="H80" s="27"/>
    </row>
    <row r="81" spans="1:8" ht="15" customHeight="1" x14ac:dyDescent="0.2">
      <c r="A81" s="28"/>
      <c r="B81" s="28" t="s">
        <v>195</v>
      </c>
      <c r="C81" s="27">
        <f t="shared" si="2"/>
        <v>635</v>
      </c>
      <c r="D81" s="27">
        <f>160+475</f>
        <v>635</v>
      </c>
      <c r="E81" s="27">
        <v>0</v>
      </c>
      <c r="F81" s="27"/>
      <c r="G81" s="27"/>
      <c r="H81" s="27"/>
    </row>
    <row r="82" spans="1:8" ht="15" customHeight="1" x14ac:dyDescent="0.2">
      <c r="A82" s="28"/>
      <c r="B82" s="28" t="s">
        <v>384</v>
      </c>
      <c r="C82" s="27">
        <f t="shared" si="2"/>
        <v>625</v>
      </c>
      <c r="D82" s="27">
        <f>325</f>
        <v>325</v>
      </c>
      <c r="E82" s="27">
        <f>300</f>
        <v>300</v>
      </c>
      <c r="F82" s="27"/>
      <c r="G82" s="27"/>
      <c r="H82" s="27"/>
    </row>
    <row r="83" spans="1:8" ht="15" customHeight="1" x14ac:dyDescent="0.2">
      <c r="A83" s="28"/>
      <c r="B83" s="28" t="s">
        <v>370</v>
      </c>
      <c r="C83" s="27">
        <f t="shared" si="2"/>
        <v>595</v>
      </c>
      <c r="D83" s="27">
        <f>115+160+175</f>
        <v>450</v>
      </c>
      <c r="E83" s="27">
        <f>145</f>
        <v>145</v>
      </c>
      <c r="F83" s="27"/>
      <c r="G83" s="27"/>
      <c r="H83" s="27"/>
    </row>
    <row r="84" spans="1:8" ht="15" customHeight="1" x14ac:dyDescent="0.2">
      <c r="A84" s="28"/>
      <c r="B84" s="28" t="s">
        <v>371</v>
      </c>
      <c r="C84" s="27">
        <f t="shared" si="2"/>
        <v>575</v>
      </c>
      <c r="D84" s="27">
        <f>575</f>
        <v>575</v>
      </c>
      <c r="E84" s="27">
        <v>0</v>
      </c>
      <c r="F84" s="27"/>
      <c r="G84" s="27"/>
      <c r="H84" s="27"/>
    </row>
    <row r="85" spans="1:8" ht="15" customHeight="1" x14ac:dyDescent="0.2">
      <c r="A85" s="28"/>
      <c r="B85" s="28" t="s">
        <v>468</v>
      </c>
      <c r="C85" s="27">
        <f t="shared" si="2"/>
        <v>575</v>
      </c>
      <c r="D85" s="27">
        <v>0</v>
      </c>
      <c r="E85" s="27">
        <f>225+350</f>
        <v>575</v>
      </c>
      <c r="F85" s="27"/>
      <c r="G85" s="27"/>
      <c r="H85" s="27"/>
    </row>
    <row r="86" spans="1:8" ht="15" customHeight="1" x14ac:dyDescent="0.2">
      <c r="A86" s="28"/>
      <c r="B86" s="28" t="s">
        <v>464</v>
      </c>
      <c r="C86" s="27">
        <f t="shared" si="2"/>
        <v>575</v>
      </c>
      <c r="D86" s="27">
        <v>0</v>
      </c>
      <c r="E86" s="27">
        <f>575</f>
        <v>575</v>
      </c>
      <c r="F86" s="27"/>
      <c r="G86" s="27"/>
      <c r="H86" s="27"/>
    </row>
    <row r="87" spans="1:8" ht="15" customHeight="1" x14ac:dyDescent="0.2">
      <c r="A87" s="28"/>
      <c r="B87" s="28" t="s">
        <v>379</v>
      </c>
      <c r="C87" s="27">
        <f t="shared" si="2"/>
        <v>575</v>
      </c>
      <c r="D87" s="27">
        <f>575</f>
        <v>575</v>
      </c>
      <c r="E87" s="27">
        <v>0</v>
      </c>
      <c r="F87" s="27"/>
      <c r="G87" s="27"/>
      <c r="H87" s="27"/>
    </row>
    <row r="88" spans="1:8" ht="15" customHeight="1" x14ac:dyDescent="0.2">
      <c r="A88" s="28"/>
      <c r="B88" s="28" t="s">
        <v>415</v>
      </c>
      <c r="C88" s="27">
        <f t="shared" si="2"/>
        <v>575</v>
      </c>
      <c r="D88" s="27">
        <v>0</v>
      </c>
      <c r="E88" s="27">
        <f>575</f>
        <v>575</v>
      </c>
      <c r="F88" s="27"/>
      <c r="G88" s="27"/>
      <c r="H88" s="27"/>
    </row>
    <row r="89" spans="1:8" ht="15" customHeight="1" x14ac:dyDescent="0.2">
      <c r="A89" s="28"/>
      <c r="B89" s="28" t="s">
        <v>411</v>
      </c>
      <c r="C89" s="27">
        <f t="shared" si="2"/>
        <v>575</v>
      </c>
      <c r="D89" s="27">
        <v>0</v>
      </c>
      <c r="E89" s="27">
        <f>225+350</f>
        <v>575</v>
      </c>
      <c r="F89" s="27"/>
      <c r="G89" s="27"/>
      <c r="H89" s="27"/>
    </row>
    <row r="90" spans="1:8" ht="15" customHeight="1" x14ac:dyDescent="0.2">
      <c r="A90" s="28"/>
      <c r="B90" s="28" t="s">
        <v>432</v>
      </c>
      <c r="C90" s="27">
        <f t="shared" si="2"/>
        <v>575</v>
      </c>
      <c r="D90" s="27">
        <v>0</v>
      </c>
      <c r="E90" s="27">
        <f>575</f>
        <v>575</v>
      </c>
      <c r="F90" s="27"/>
      <c r="G90" s="27"/>
      <c r="H90" s="27"/>
    </row>
    <row r="91" spans="1:8" ht="15" customHeight="1" x14ac:dyDescent="0.2">
      <c r="A91" s="28"/>
      <c r="B91" s="28" t="s">
        <v>392</v>
      </c>
      <c r="C91" s="27">
        <f t="shared" si="2"/>
        <v>565</v>
      </c>
      <c r="D91" s="27">
        <f>115</f>
        <v>115</v>
      </c>
      <c r="E91" s="27">
        <f>200+250</f>
        <v>450</v>
      </c>
      <c r="F91" s="27"/>
      <c r="G91" s="27"/>
      <c r="H91" s="27"/>
    </row>
    <row r="92" spans="1:8" ht="15" customHeight="1" x14ac:dyDescent="0.2">
      <c r="A92" s="28"/>
      <c r="B92" s="28" t="s">
        <v>421</v>
      </c>
      <c r="C92" s="27">
        <f t="shared" si="2"/>
        <v>555</v>
      </c>
      <c r="D92" s="27">
        <v>0</v>
      </c>
      <c r="E92" s="27">
        <f>425+130</f>
        <v>555</v>
      </c>
      <c r="F92" s="27"/>
      <c r="G92" s="27"/>
      <c r="H92" s="27"/>
    </row>
    <row r="93" spans="1:8" ht="15" customHeight="1" x14ac:dyDescent="0.2">
      <c r="A93" s="28"/>
      <c r="B93" s="28" t="s">
        <v>405</v>
      </c>
      <c r="C93" s="27">
        <f t="shared" si="2"/>
        <v>550</v>
      </c>
      <c r="D93" s="27">
        <v>0</v>
      </c>
      <c r="E93" s="27">
        <f>275+275</f>
        <v>550</v>
      </c>
      <c r="F93" s="27"/>
      <c r="G93" s="27"/>
      <c r="H93" s="27"/>
    </row>
    <row r="94" spans="1:8" ht="15" customHeight="1" x14ac:dyDescent="0.2">
      <c r="A94" s="28"/>
      <c r="B94" s="28" t="s">
        <v>378</v>
      </c>
      <c r="C94" s="27">
        <f t="shared" si="2"/>
        <v>530</v>
      </c>
      <c r="D94" s="27">
        <f>115</f>
        <v>115</v>
      </c>
      <c r="E94" s="27">
        <f>115+300</f>
        <v>415</v>
      </c>
      <c r="F94" s="27"/>
      <c r="G94" s="27"/>
      <c r="H94" s="27"/>
    </row>
    <row r="95" spans="1:8" ht="15" customHeight="1" x14ac:dyDescent="0.2">
      <c r="A95" s="28"/>
      <c r="B95" s="28" t="s">
        <v>406</v>
      </c>
      <c r="C95" s="27">
        <f t="shared" si="2"/>
        <v>525</v>
      </c>
      <c r="D95" s="27">
        <v>0</v>
      </c>
      <c r="E95" s="27">
        <f>225+300</f>
        <v>525</v>
      </c>
      <c r="F95" s="27"/>
      <c r="G95" s="27"/>
      <c r="H95" s="27"/>
    </row>
    <row r="96" spans="1:8" ht="15" customHeight="1" x14ac:dyDescent="0.2">
      <c r="A96" s="28"/>
      <c r="B96" s="28" t="s">
        <v>437</v>
      </c>
      <c r="C96" s="27">
        <f t="shared" si="2"/>
        <v>520</v>
      </c>
      <c r="D96" s="27">
        <v>0</v>
      </c>
      <c r="E96" s="27">
        <f>160+200+160</f>
        <v>520</v>
      </c>
      <c r="F96" s="27"/>
      <c r="G96" s="27"/>
      <c r="H96" s="27"/>
    </row>
    <row r="97" spans="1:8" ht="15" customHeight="1" x14ac:dyDescent="0.2">
      <c r="A97" s="28"/>
      <c r="B97" s="28" t="s">
        <v>246</v>
      </c>
      <c r="C97" s="27">
        <f t="shared" si="2"/>
        <v>510</v>
      </c>
      <c r="D97" s="27">
        <v>0</v>
      </c>
      <c r="E97" s="27">
        <f>350+160</f>
        <v>510</v>
      </c>
      <c r="F97" s="27"/>
      <c r="G97" s="27"/>
      <c r="H97" s="27"/>
    </row>
    <row r="98" spans="1:8" ht="15" customHeight="1" x14ac:dyDescent="0.2">
      <c r="A98" s="28"/>
      <c r="B98" s="28" t="s">
        <v>343</v>
      </c>
      <c r="C98" s="27">
        <f t="shared" si="2"/>
        <v>500</v>
      </c>
      <c r="D98" s="27">
        <f>300</f>
        <v>300</v>
      </c>
      <c r="E98" s="27">
        <f>200</f>
        <v>200</v>
      </c>
      <c r="F98" s="27"/>
      <c r="G98" s="27"/>
      <c r="H98" s="27"/>
    </row>
    <row r="99" spans="1:8" ht="15" customHeight="1" x14ac:dyDescent="0.2">
      <c r="A99" s="28"/>
      <c r="B99" s="28" t="s">
        <v>388</v>
      </c>
      <c r="C99" s="27">
        <f t="shared" si="2"/>
        <v>475</v>
      </c>
      <c r="D99" s="27">
        <f>200</f>
        <v>200</v>
      </c>
      <c r="E99" s="27">
        <f>275</f>
        <v>275</v>
      </c>
      <c r="F99" s="27"/>
      <c r="G99" s="27"/>
      <c r="H99" s="27"/>
    </row>
    <row r="100" spans="1:8" ht="15" customHeight="1" x14ac:dyDescent="0.2">
      <c r="A100" s="28"/>
      <c r="B100" s="28" t="s">
        <v>383</v>
      </c>
      <c r="C100" s="27">
        <f t="shared" si="2"/>
        <v>465</v>
      </c>
      <c r="D100" s="27">
        <f>350</f>
        <v>350</v>
      </c>
      <c r="E100" s="27">
        <f>115</f>
        <v>115</v>
      </c>
      <c r="F100" s="27"/>
      <c r="G100" s="27"/>
      <c r="H100" s="27"/>
    </row>
    <row r="101" spans="1:8" ht="15" customHeight="1" x14ac:dyDescent="0.2">
      <c r="A101" s="28"/>
      <c r="B101" s="28" t="s">
        <v>449</v>
      </c>
      <c r="C101" s="27">
        <f t="shared" si="2"/>
        <v>445</v>
      </c>
      <c r="D101" s="27">
        <v>0</v>
      </c>
      <c r="E101" s="27">
        <f>145+300</f>
        <v>445</v>
      </c>
      <c r="F101" s="27"/>
      <c r="G101" s="27"/>
      <c r="H101" s="27"/>
    </row>
    <row r="102" spans="1:8" ht="15" customHeight="1" x14ac:dyDescent="0.2">
      <c r="A102" s="28"/>
      <c r="B102" s="28" t="s">
        <v>448</v>
      </c>
      <c r="C102" s="27">
        <f t="shared" si="2"/>
        <v>430</v>
      </c>
      <c r="D102" s="27">
        <v>0</v>
      </c>
      <c r="E102" s="27">
        <f>300+130</f>
        <v>430</v>
      </c>
      <c r="F102" s="27"/>
      <c r="G102" s="27"/>
      <c r="H102" s="27"/>
    </row>
    <row r="103" spans="1:8" ht="15" customHeight="1" x14ac:dyDescent="0.2">
      <c r="A103" s="28"/>
      <c r="B103" s="28" t="s">
        <v>433</v>
      </c>
      <c r="C103" s="27">
        <f t="shared" si="2"/>
        <v>425</v>
      </c>
      <c r="D103" s="27">
        <v>0</v>
      </c>
      <c r="E103" s="27">
        <f>425</f>
        <v>425</v>
      </c>
      <c r="F103" s="27"/>
      <c r="G103" s="27"/>
      <c r="H103" s="27"/>
    </row>
    <row r="104" spans="1:8" ht="15" customHeight="1" x14ac:dyDescent="0.2">
      <c r="A104" s="28"/>
      <c r="B104" s="28" t="s">
        <v>189</v>
      </c>
      <c r="C104" s="27">
        <f t="shared" si="2"/>
        <v>425</v>
      </c>
      <c r="D104" s="27">
        <v>0</v>
      </c>
      <c r="E104" s="27">
        <f>425</f>
        <v>425</v>
      </c>
      <c r="F104" s="27"/>
      <c r="G104" s="27"/>
      <c r="H104" s="27"/>
    </row>
    <row r="105" spans="1:8" ht="15" customHeight="1" x14ac:dyDescent="0.2">
      <c r="A105" s="28"/>
      <c r="B105" s="28" t="s">
        <v>457</v>
      </c>
      <c r="C105" s="27">
        <f t="shared" si="2"/>
        <v>420</v>
      </c>
      <c r="D105" s="27">
        <v>0</v>
      </c>
      <c r="E105" s="27">
        <f>145+275</f>
        <v>420</v>
      </c>
      <c r="F105" s="27"/>
      <c r="G105" s="27"/>
      <c r="H105" s="27"/>
    </row>
    <row r="106" spans="1:8" ht="15" customHeight="1" x14ac:dyDescent="0.2">
      <c r="A106" s="28"/>
      <c r="B106" s="28" t="s">
        <v>403</v>
      </c>
      <c r="C106" s="27">
        <f t="shared" ref="C106:C137" si="3">SUM(D106:H106)</f>
        <v>415</v>
      </c>
      <c r="D106" s="27">
        <f>115</f>
        <v>115</v>
      </c>
      <c r="E106" s="27">
        <f>300</f>
        <v>300</v>
      </c>
      <c r="F106" s="27"/>
      <c r="G106" s="27"/>
      <c r="H106" s="27"/>
    </row>
    <row r="107" spans="1:8" ht="15" customHeight="1" x14ac:dyDescent="0.2">
      <c r="A107" s="28"/>
      <c r="B107" s="28" t="s">
        <v>465</v>
      </c>
      <c r="C107" s="27">
        <f t="shared" si="3"/>
        <v>400</v>
      </c>
      <c r="D107" s="27">
        <v>0</v>
      </c>
      <c r="E107" s="27">
        <f>225+175</f>
        <v>400</v>
      </c>
      <c r="F107" s="27"/>
      <c r="G107" s="27"/>
      <c r="H107" s="27"/>
    </row>
    <row r="108" spans="1:8" ht="15" customHeight="1" x14ac:dyDescent="0.2">
      <c r="A108" s="28"/>
      <c r="B108" s="28" t="s">
        <v>386</v>
      </c>
      <c r="C108" s="27">
        <f t="shared" si="3"/>
        <v>400</v>
      </c>
      <c r="D108" s="27">
        <f>225</f>
        <v>225</v>
      </c>
      <c r="E108" s="27">
        <f>175</f>
        <v>175</v>
      </c>
      <c r="F108" s="27"/>
      <c r="G108" s="27"/>
      <c r="H108" s="27"/>
    </row>
    <row r="109" spans="1:8" ht="15" customHeight="1" x14ac:dyDescent="0.2">
      <c r="A109" s="28"/>
      <c r="B109" s="28" t="s">
        <v>475</v>
      </c>
      <c r="C109" s="27">
        <f t="shared" si="3"/>
        <v>375</v>
      </c>
      <c r="D109" s="27">
        <v>0</v>
      </c>
      <c r="E109" s="27">
        <f>375</f>
        <v>375</v>
      </c>
      <c r="F109" s="27"/>
      <c r="G109" s="27"/>
      <c r="H109" s="27"/>
    </row>
    <row r="110" spans="1:8" ht="15" customHeight="1" x14ac:dyDescent="0.2">
      <c r="A110" s="28"/>
      <c r="B110" s="28" t="s">
        <v>434</v>
      </c>
      <c r="C110" s="27">
        <f t="shared" si="3"/>
        <v>375</v>
      </c>
      <c r="D110" s="27">
        <v>0</v>
      </c>
      <c r="E110" s="27">
        <f>375</f>
        <v>375</v>
      </c>
      <c r="F110" s="27"/>
      <c r="G110" s="27"/>
      <c r="H110" s="27"/>
    </row>
    <row r="111" spans="1:8" ht="15" customHeight="1" x14ac:dyDescent="0.2">
      <c r="A111" s="28"/>
      <c r="B111" s="28" t="s">
        <v>416</v>
      </c>
      <c r="C111" s="27">
        <f t="shared" si="3"/>
        <v>375</v>
      </c>
      <c r="D111" s="27">
        <v>0</v>
      </c>
      <c r="E111" s="27">
        <f>375</f>
        <v>375</v>
      </c>
      <c r="F111" s="27"/>
      <c r="G111" s="27"/>
      <c r="H111" s="27"/>
    </row>
    <row r="112" spans="1:8" ht="15" customHeight="1" x14ac:dyDescent="0.2">
      <c r="A112" s="28"/>
      <c r="B112" s="28" t="s">
        <v>216</v>
      </c>
      <c r="C112" s="27">
        <f t="shared" si="3"/>
        <v>370</v>
      </c>
      <c r="D112" s="27">
        <f>145</f>
        <v>145</v>
      </c>
      <c r="E112" s="27">
        <f>225</f>
        <v>225</v>
      </c>
      <c r="F112" s="27"/>
      <c r="G112" s="27"/>
      <c r="H112" s="27"/>
    </row>
    <row r="113" spans="1:8" ht="15" customHeight="1" x14ac:dyDescent="0.2">
      <c r="A113" s="28"/>
      <c r="B113" s="28" t="s">
        <v>444</v>
      </c>
      <c r="C113" s="27">
        <f t="shared" si="3"/>
        <v>360</v>
      </c>
      <c r="D113" s="27">
        <v>0</v>
      </c>
      <c r="E113" s="27">
        <f>160+200</f>
        <v>360</v>
      </c>
      <c r="F113" s="27"/>
      <c r="G113" s="27"/>
      <c r="H113" s="27"/>
    </row>
    <row r="114" spans="1:8" ht="15" customHeight="1" x14ac:dyDescent="0.2">
      <c r="A114" s="28"/>
      <c r="B114" s="28" t="s">
        <v>442</v>
      </c>
      <c r="C114" s="27">
        <f t="shared" si="3"/>
        <v>355</v>
      </c>
      <c r="D114" s="27">
        <v>0</v>
      </c>
      <c r="E114" s="27">
        <f>225+130</f>
        <v>355</v>
      </c>
      <c r="F114" s="27"/>
      <c r="G114" s="27"/>
      <c r="H114" s="27"/>
    </row>
    <row r="115" spans="1:8" ht="15" customHeight="1" x14ac:dyDescent="0.2">
      <c r="A115" s="28"/>
      <c r="B115" s="28" t="s">
        <v>452</v>
      </c>
      <c r="C115" s="27">
        <f t="shared" si="3"/>
        <v>355</v>
      </c>
      <c r="D115" s="27">
        <v>0</v>
      </c>
      <c r="E115" s="27">
        <f>130+225</f>
        <v>355</v>
      </c>
      <c r="F115" s="27"/>
      <c r="G115" s="27"/>
      <c r="H115" s="27"/>
    </row>
    <row r="116" spans="1:8" ht="15" customHeight="1" x14ac:dyDescent="0.2">
      <c r="A116" s="28"/>
      <c r="B116" s="28" t="s">
        <v>476</v>
      </c>
      <c r="C116" s="27">
        <f t="shared" si="3"/>
        <v>350</v>
      </c>
      <c r="D116" s="27">
        <v>0</v>
      </c>
      <c r="E116" s="27">
        <f>350</f>
        <v>350</v>
      </c>
      <c r="F116" s="27"/>
      <c r="G116" s="27"/>
      <c r="H116" s="27"/>
    </row>
    <row r="117" spans="1:8" ht="15" customHeight="1" x14ac:dyDescent="0.2">
      <c r="A117" s="28"/>
      <c r="B117" s="28" t="s">
        <v>435</v>
      </c>
      <c r="C117" s="27">
        <f t="shared" si="3"/>
        <v>350</v>
      </c>
      <c r="D117" s="27">
        <v>0</v>
      </c>
      <c r="E117" s="27">
        <f>350</f>
        <v>350</v>
      </c>
      <c r="F117" s="27"/>
      <c r="G117" s="27"/>
      <c r="H117" s="27"/>
    </row>
    <row r="118" spans="1:8" ht="15" customHeight="1" x14ac:dyDescent="0.2">
      <c r="A118" s="28"/>
      <c r="B118" s="28" t="s">
        <v>404</v>
      </c>
      <c r="C118" s="27">
        <f t="shared" si="3"/>
        <v>350</v>
      </c>
      <c r="D118" s="27">
        <v>0</v>
      </c>
      <c r="E118" s="27">
        <f>350</f>
        <v>350</v>
      </c>
      <c r="F118" s="27"/>
      <c r="G118" s="27"/>
      <c r="H118" s="27"/>
    </row>
    <row r="119" spans="1:8" ht="15" customHeight="1" x14ac:dyDescent="0.2">
      <c r="A119" s="28"/>
      <c r="B119" s="28" t="s">
        <v>451</v>
      </c>
      <c r="C119" s="27">
        <f t="shared" si="3"/>
        <v>350</v>
      </c>
      <c r="D119" s="27">
        <v>0</v>
      </c>
      <c r="E119" s="27">
        <f>350</f>
        <v>350</v>
      </c>
      <c r="F119" s="27"/>
      <c r="G119" s="27"/>
      <c r="H119" s="27"/>
    </row>
    <row r="120" spans="1:8" ht="15" customHeight="1" x14ac:dyDescent="0.2">
      <c r="A120" s="28"/>
      <c r="B120" s="28" t="s">
        <v>440</v>
      </c>
      <c r="C120" s="27">
        <f t="shared" si="3"/>
        <v>325</v>
      </c>
      <c r="D120" s="27">
        <v>0</v>
      </c>
      <c r="E120" s="27">
        <f>325</f>
        <v>325</v>
      </c>
      <c r="F120" s="27"/>
      <c r="G120" s="27"/>
      <c r="H120" s="27"/>
    </row>
    <row r="121" spans="1:8" ht="15" customHeight="1" x14ac:dyDescent="0.2">
      <c r="A121" s="28"/>
      <c r="B121" s="28" t="s">
        <v>408</v>
      </c>
      <c r="C121" s="27">
        <f t="shared" si="3"/>
        <v>325</v>
      </c>
      <c r="D121" s="27">
        <v>0</v>
      </c>
      <c r="E121" s="27">
        <f>325</f>
        <v>325</v>
      </c>
      <c r="F121" s="27"/>
      <c r="G121" s="27"/>
      <c r="H121" s="27"/>
    </row>
    <row r="122" spans="1:8" ht="15" customHeight="1" x14ac:dyDescent="0.2">
      <c r="A122" s="28"/>
      <c r="B122" s="28" t="s">
        <v>422</v>
      </c>
      <c r="C122" s="27">
        <f t="shared" si="3"/>
        <v>325</v>
      </c>
      <c r="D122" s="27">
        <v>0</v>
      </c>
      <c r="E122" s="27">
        <f>325</f>
        <v>325</v>
      </c>
      <c r="F122" s="27"/>
      <c r="G122" s="27"/>
      <c r="H122" s="27"/>
    </row>
    <row r="123" spans="1:8" ht="15" customHeight="1" x14ac:dyDescent="0.2">
      <c r="A123" s="28"/>
      <c r="B123" s="28" t="s">
        <v>425</v>
      </c>
      <c r="C123" s="27">
        <f t="shared" si="3"/>
        <v>325</v>
      </c>
      <c r="D123" s="27">
        <v>0</v>
      </c>
      <c r="E123" s="27">
        <f>325</f>
        <v>325</v>
      </c>
      <c r="F123" s="27"/>
      <c r="G123" s="27"/>
      <c r="H123" s="27"/>
    </row>
    <row r="124" spans="1:8" ht="15" customHeight="1" x14ac:dyDescent="0.2">
      <c r="A124" s="28"/>
      <c r="B124" s="28" t="s">
        <v>473</v>
      </c>
      <c r="C124" s="27">
        <f t="shared" si="3"/>
        <v>325</v>
      </c>
      <c r="D124" s="27">
        <v>0</v>
      </c>
      <c r="E124" s="27">
        <f>325</f>
        <v>325</v>
      </c>
      <c r="F124" s="27"/>
      <c r="G124" s="27"/>
      <c r="H124" s="27"/>
    </row>
    <row r="125" spans="1:8" ht="15" customHeight="1" x14ac:dyDescent="0.2">
      <c r="A125" s="28"/>
      <c r="B125" s="28" t="s">
        <v>456</v>
      </c>
      <c r="C125" s="27">
        <f t="shared" si="3"/>
        <v>325</v>
      </c>
      <c r="D125" s="27">
        <v>0</v>
      </c>
      <c r="E125" s="27">
        <f>325</f>
        <v>325</v>
      </c>
      <c r="F125" s="27"/>
      <c r="G125" s="27"/>
      <c r="H125" s="27"/>
    </row>
    <row r="126" spans="1:8" ht="15" customHeight="1" x14ac:dyDescent="0.2">
      <c r="A126" s="28"/>
      <c r="B126" s="28" t="s">
        <v>413</v>
      </c>
      <c r="C126" s="27">
        <f t="shared" si="3"/>
        <v>305</v>
      </c>
      <c r="D126" s="27">
        <v>0</v>
      </c>
      <c r="E126" s="27">
        <f>160+145</f>
        <v>305</v>
      </c>
      <c r="F126" s="27"/>
      <c r="G126" s="27"/>
      <c r="H126" s="27"/>
    </row>
    <row r="127" spans="1:8" ht="15" customHeight="1" x14ac:dyDescent="0.2">
      <c r="A127" s="28"/>
      <c r="B127" s="28" t="s">
        <v>459</v>
      </c>
      <c r="C127" s="27">
        <f t="shared" si="3"/>
        <v>300</v>
      </c>
      <c r="D127" s="27">
        <v>0</v>
      </c>
      <c r="E127" s="27">
        <f>300</f>
        <v>300</v>
      </c>
      <c r="F127" s="27"/>
      <c r="G127" s="27"/>
      <c r="H127" s="27"/>
    </row>
    <row r="128" spans="1:8" ht="15" customHeight="1" x14ac:dyDescent="0.2">
      <c r="A128" s="28"/>
      <c r="B128" s="28" t="s">
        <v>341</v>
      </c>
      <c r="C128" s="27">
        <f t="shared" si="3"/>
        <v>275</v>
      </c>
      <c r="D128" s="27">
        <f>160</f>
        <v>160</v>
      </c>
      <c r="E128" s="27">
        <f>115</f>
        <v>115</v>
      </c>
      <c r="F128" s="27"/>
      <c r="G128" s="27"/>
      <c r="H128" s="27"/>
    </row>
    <row r="129" spans="1:8" ht="15" customHeight="1" x14ac:dyDescent="0.2">
      <c r="A129" s="28"/>
      <c r="B129" s="28" t="s">
        <v>409</v>
      </c>
      <c r="C129" s="27">
        <f t="shared" si="3"/>
        <v>275</v>
      </c>
      <c r="D129" s="27">
        <v>0</v>
      </c>
      <c r="E129" s="27">
        <f>275</f>
        <v>275</v>
      </c>
      <c r="F129" s="27"/>
      <c r="G129" s="27"/>
      <c r="H129" s="27"/>
    </row>
    <row r="130" spans="1:8" ht="15" customHeight="1" x14ac:dyDescent="0.2">
      <c r="A130" s="28"/>
      <c r="B130" s="28" t="s">
        <v>446</v>
      </c>
      <c r="C130" s="27">
        <f t="shared" si="3"/>
        <v>275</v>
      </c>
      <c r="D130" s="27">
        <v>0</v>
      </c>
      <c r="E130" s="27">
        <f>275</f>
        <v>275</v>
      </c>
      <c r="F130" s="27"/>
      <c r="G130" s="27"/>
      <c r="H130" s="27"/>
    </row>
    <row r="131" spans="1:8" ht="15" customHeight="1" x14ac:dyDescent="0.2">
      <c r="A131" s="28"/>
      <c r="B131" s="28" t="s">
        <v>423</v>
      </c>
      <c r="C131" s="27">
        <f t="shared" si="3"/>
        <v>275</v>
      </c>
      <c r="D131" s="27">
        <v>0</v>
      </c>
      <c r="E131" s="27">
        <f>275</f>
        <v>275</v>
      </c>
      <c r="F131" s="27"/>
      <c r="G131" s="27"/>
      <c r="H131" s="27"/>
    </row>
    <row r="132" spans="1:8" ht="15" customHeight="1" x14ac:dyDescent="0.2">
      <c r="A132" s="28"/>
      <c r="B132" s="28" t="s">
        <v>357</v>
      </c>
      <c r="C132" s="27">
        <f t="shared" si="3"/>
        <v>275</v>
      </c>
      <c r="D132" s="27">
        <f>275</f>
        <v>275</v>
      </c>
      <c r="E132" s="27">
        <v>0</v>
      </c>
      <c r="F132" s="27"/>
      <c r="G132" s="27"/>
      <c r="H132" s="27"/>
    </row>
    <row r="133" spans="1:8" ht="15" customHeight="1" x14ac:dyDescent="0.2">
      <c r="A133" s="28"/>
      <c r="B133" s="28" t="s">
        <v>472</v>
      </c>
      <c r="C133" s="27">
        <f t="shared" si="3"/>
        <v>275</v>
      </c>
      <c r="D133" s="27">
        <v>0</v>
      </c>
      <c r="E133" s="27">
        <f>145+130</f>
        <v>275</v>
      </c>
      <c r="F133" s="27"/>
      <c r="G133" s="27"/>
      <c r="H133" s="27"/>
    </row>
    <row r="134" spans="1:8" ht="15" customHeight="1" x14ac:dyDescent="0.2">
      <c r="A134" s="28"/>
      <c r="B134" s="28" t="s">
        <v>469</v>
      </c>
      <c r="C134" s="27">
        <f t="shared" si="3"/>
        <v>275</v>
      </c>
      <c r="D134" s="27">
        <v>0</v>
      </c>
      <c r="E134" s="27">
        <f>275</f>
        <v>275</v>
      </c>
      <c r="F134" s="27"/>
      <c r="G134" s="27"/>
      <c r="H134" s="27"/>
    </row>
    <row r="135" spans="1:8" ht="15" customHeight="1" x14ac:dyDescent="0.2">
      <c r="A135" s="28"/>
      <c r="B135" s="28" t="s">
        <v>438</v>
      </c>
      <c r="C135" s="27">
        <f t="shared" si="3"/>
        <v>275</v>
      </c>
      <c r="D135" s="27">
        <v>0</v>
      </c>
      <c r="E135" s="27">
        <f>145+130</f>
        <v>275</v>
      </c>
      <c r="F135" s="27"/>
      <c r="G135" s="27"/>
      <c r="H135" s="27"/>
    </row>
    <row r="136" spans="1:8" ht="15" customHeight="1" x14ac:dyDescent="0.2">
      <c r="A136" s="28"/>
      <c r="B136" s="28" t="s">
        <v>430</v>
      </c>
      <c r="C136" s="27">
        <f t="shared" si="3"/>
        <v>275</v>
      </c>
      <c r="D136" s="27">
        <v>0</v>
      </c>
      <c r="E136" s="27">
        <f>275</f>
        <v>275</v>
      </c>
      <c r="F136" s="27"/>
      <c r="G136" s="27"/>
      <c r="H136" s="27"/>
    </row>
    <row r="137" spans="1:8" ht="15" customHeight="1" x14ac:dyDescent="0.2">
      <c r="A137" s="28"/>
      <c r="B137" s="28" t="s">
        <v>463</v>
      </c>
      <c r="C137" s="27">
        <f t="shared" si="3"/>
        <v>275</v>
      </c>
      <c r="D137" s="27">
        <v>0</v>
      </c>
      <c r="E137" s="27">
        <f>275</f>
        <v>275</v>
      </c>
      <c r="F137" s="27"/>
      <c r="G137" s="27"/>
      <c r="H137" s="27"/>
    </row>
    <row r="138" spans="1:8" ht="15" customHeight="1" x14ac:dyDescent="0.2">
      <c r="A138" s="28"/>
      <c r="B138" s="28" t="s">
        <v>424</v>
      </c>
      <c r="C138" s="27">
        <f t="shared" ref="C138:C169" si="4">SUM(D138:H138)</f>
        <v>250</v>
      </c>
      <c r="D138" s="27">
        <v>0</v>
      </c>
      <c r="E138" s="27">
        <f>250</f>
        <v>250</v>
      </c>
      <c r="F138" s="27"/>
      <c r="G138" s="27"/>
      <c r="H138" s="27"/>
    </row>
    <row r="139" spans="1:8" ht="15" customHeight="1" x14ac:dyDescent="0.2">
      <c r="A139" s="28"/>
      <c r="B139" s="28" t="s">
        <v>441</v>
      </c>
      <c r="C139" s="27">
        <f t="shared" si="4"/>
        <v>250</v>
      </c>
      <c r="D139" s="27">
        <v>0</v>
      </c>
      <c r="E139" s="27">
        <f>250</f>
        <v>250</v>
      </c>
      <c r="F139" s="27"/>
      <c r="G139" s="27"/>
      <c r="H139" s="27"/>
    </row>
    <row r="140" spans="1:8" ht="15" customHeight="1" x14ac:dyDescent="0.2">
      <c r="A140" s="28"/>
      <c r="B140" s="28" t="s">
        <v>431</v>
      </c>
      <c r="C140" s="27">
        <f t="shared" si="4"/>
        <v>250</v>
      </c>
      <c r="D140" s="27">
        <v>0</v>
      </c>
      <c r="E140" s="27">
        <f>250</f>
        <v>250</v>
      </c>
      <c r="F140" s="27"/>
      <c r="G140" s="27"/>
      <c r="H140" s="27"/>
    </row>
    <row r="141" spans="1:8" ht="15" customHeight="1" x14ac:dyDescent="0.2">
      <c r="A141" s="28"/>
      <c r="B141" s="28" t="s">
        <v>417</v>
      </c>
      <c r="C141" s="27">
        <f t="shared" si="4"/>
        <v>250</v>
      </c>
      <c r="D141" s="27">
        <v>0</v>
      </c>
      <c r="E141" s="27">
        <f>250</f>
        <v>250</v>
      </c>
      <c r="F141" s="27"/>
      <c r="G141" s="27"/>
      <c r="H141" s="27"/>
    </row>
    <row r="142" spans="1:8" ht="15" customHeight="1" x14ac:dyDescent="0.2">
      <c r="A142" s="28"/>
      <c r="B142" s="28" t="s">
        <v>419</v>
      </c>
      <c r="C142" s="27">
        <f t="shared" si="4"/>
        <v>245</v>
      </c>
      <c r="D142" s="27">
        <v>0</v>
      </c>
      <c r="E142" s="27">
        <f>130+115</f>
        <v>245</v>
      </c>
      <c r="F142" s="27"/>
      <c r="G142" s="27"/>
      <c r="H142" s="27"/>
    </row>
    <row r="143" spans="1:8" ht="15" customHeight="1" x14ac:dyDescent="0.2">
      <c r="A143" s="28"/>
      <c r="B143" s="28" t="s">
        <v>420</v>
      </c>
      <c r="C143" s="27">
        <f t="shared" si="4"/>
        <v>245</v>
      </c>
      <c r="D143" s="27">
        <v>0</v>
      </c>
      <c r="E143" s="27">
        <f>115+130</f>
        <v>245</v>
      </c>
      <c r="F143" s="27"/>
      <c r="G143" s="27"/>
      <c r="H143" s="27"/>
    </row>
    <row r="144" spans="1:8" ht="15" customHeight="1" x14ac:dyDescent="0.2">
      <c r="A144" s="28"/>
      <c r="B144" s="28" t="s">
        <v>393</v>
      </c>
      <c r="C144" s="27">
        <f t="shared" si="4"/>
        <v>225</v>
      </c>
      <c r="D144" s="27">
        <f>225</f>
        <v>225</v>
      </c>
      <c r="E144" s="27">
        <v>0</v>
      </c>
      <c r="F144" s="27"/>
      <c r="G144" s="27"/>
      <c r="H144" s="27"/>
    </row>
    <row r="145" spans="1:8" ht="15" customHeight="1" x14ac:dyDescent="0.2">
      <c r="A145" s="28"/>
      <c r="B145" s="28" t="s">
        <v>454</v>
      </c>
      <c r="C145" s="27">
        <f t="shared" si="4"/>
        <v>225</v>
      </c>
      <c r="D145" s="27">
        <v>0</v>
      </c>
      <c r="E145" s="27">
        <f>225</f>
        <v>225</v>
      </c>
      <c r="F145" s="27"/>
      <c r="G145" s="27"/>
      <c r="H145" s="27"/>
    </row>
    <row r="146" spans="1:8" ht="15" customHeight="1" x14ac:dyDescent="0.2">
      <c r="A146" s="28"/>
      <c r="B146" s="28" t="s">
        <v>436</v>
      </c>
      <c r="C146" s="27">
        <f t="shared" si="4"/>
        <v>225</v>
      </c>
      <c r="D146" s="27">
        <v>0</v>
      </c>
      <c r="E146" s="27">
        <f>225</f>
        <v>225</v>
      </c>
      <c r="F146" s="27"/>
      <c r="G146" s="27"/>
      <c r="H146" s="27"/>
    </row>
    <row r="147" spans="1:8" ht="15" customHeight="1" x14ac:dyDescent="0.2">
      <c r="A147" s="28"/>
      <c r="B147" s="28" t="s">
        <v>477</v>
      </c>
      <c r="C147" s="27">
        <f t="shared" si="4"/>
        <v>225</v>
      </c>
      <c r="D147" s="27">
        <v>0</v>
      </c>
      <c r="E147" s="27">
        <f>225</f>
        <v>225</v>
      </c>
      <c r="F147" s="27"/>
      <c r="G147" s="27"/>
      <c r="H147" s="27"/>
    </row>
    <row r="148" spans="1:8" ht="15" customHeight="1" x14ac:dyDescent="0.2">
      <c r="A148" s="28"/>
      <c r="B148" s="28" t="s">
        <v>376</v>
      </c>
      <c r="C148" s="27">
        <f t="shared" si="4"/>
        <v>200</v>
      </c>
      <c r="D148" s="27">
        <f>200</f>
        <v>200</v>
      </c>
      <c r="E148" s="27">
        <v>0</v>
      </c>
      <c r="F148" s="27"/>
      <c r="G148" s="27"/>
      <c r="H148" s="27"/>
    </row>
    <row r="149" spans="1:8" ht="15" customHeight="1" x14ac:dyDescent="0.2">
      <c r="A149" s="28"/>
      <c r="B149" s="28" t="s">
        <v>443</v>
      </c>
      <c r="C149" s="27">
        <f t="shared" si="4"/>
        <v>200</v>
      </c>
      <c r="D149" s="27">
        <v>0</v>
      </c>
      <c r="E149" s="27">
        <f>200</f>
        <v>200</v>
      </c>
      <c r="F149" s="27"/>
      <c r="G149" s="27"/>
      <c r="H149" s="27"/>
    </row>
    <row r="150" spans="1:8" ht="15" customHeight="1" x14ac:dyDescent="0.2">
      <c r="A150" s="28"/>
      <c r="B150" s="28" t="s">
        <v>470</v>
      </c>
      <c r="C150" s="27">
        <f t="shared" si="4"/>
        <v>200</v>
      </c>
      <c r="D150" s="27">
        <v>0</v>
      </c>
      <c r="E150" s="27">
        <f>200</f>
        <v>200</v>
      </c>
      <c r="F150" s="27"/>
      <c r="G150" s="27"/>
      <c r="H150" s="27"/>
    </row>
    <row r="151" spans="1:8" ht="15" customHeight="1" x14ac:dyDescent="0.2">
      <c r="A151" s="28"/>
      <c r="B151" s="28" t="s">
        <v>466</v>
      </c>
      <c r="C151" s="27">
        <f t="shared" si="4"/>
        <v>200</v>
      </c>
      <c r="D151" s="27">
        <v>0</v>
      </c>
      <c r="E151" s="27">
        <f>200</f>
        <v>200</v>
      </c>
      <c r="F151" s="27"/>
      <c r="G151" s="27"/>
      <c r="H151" s="27"/>
    </row>
    <row r="152" spans="1:8" ht="15" customHeight="1" x14ac:dyDescent="0.2">
      <c r="A152" s="28"/>
      <c r="B152" s="28" t="s">
        <v>426</v>
      </c>
      <c r="C152" s="27">
        <f t="shared" si="4"/>
        <v>200</v>
      </c>
      <c r="D152" s="27">
        <v>0</v>
      </c>
      <c r="E152" s="27">
        <f>200</f>
        <v>200</v>
      </c>
      <c r="F152" s="27"/>
      <c r="G152" s="27"/>
      <c r="H152" s="27"/>
    </row>
    <row r="153" spans="1:8" ht="15" customHeight="1" x14ac:dyDescent="0.2">
      <c r="A153" s="28"/>
      <c r="B153" s="28" t="s">
        <v>467</v>
      </c>
      <c r="C153" s="27">
        <f t="shared" si="4"/>
        <v>175</v>
      </c>
      <c r="D153" s="27">
        <v>0</v>
      </c>
      <c r="E153" s="27">
        <f>175</f>
        <v>175</v>
      </c>
      <c r="F153" s="27"/>
      <c r="G153" s="27"/>
      <c r="H153" s="27"/>
    </row>
    <row r="154" spans="1:8" ht="15" customHeight="1" x14ac:dyDescent="0.2">
      <c r="A154" s="28"/>
      <c r="B154" s="28" t="s">
        <v>293</v>
      </c>
      <c r="C154" s="27">
        <f t="shared" si="4"/>
        <v>175</v>
      </c>
      <c r="D154" s="27">
        <f>175</f>
        <v>175</v>
      </c>
      <c r="E154" s="27">
        <v>0</v>
      </c>
      <c r="F154" s="27"/>
      <c r="G154" s="27"/>
      <c r="H154" s="27"/>
    </row>
    <row r="155" spans="1:8" ht="15" customHeight="1" x14ac:dyDescent="0.2">
      <c r="A155" s="28"/>
      <c r="B155" s="28" t="s">
        <v>474</v>
      </c>
      <c r="C155" s="27">
        <f t="shared" si="4"/>
        <v>175</v>
      </c>
      <c r="D155" s="27">
        <v>0</v>
      </c>
      <c r="E155" s="27">
        <f>175</f>
        <v>175</v>
      </c>
      <c r="F155" s="27"/>
      <c r="G155" s="27"/>
      <c r="H155" s="27"/>
    </row>
    <row r="156" spans="1:8" ht="15" customHeight="1" x14ac:dyDescent="0.2">
      <c r="A156" s="28"/>
      <c r="B156" s="28" t="s">
        <v>479</v>
      </c>
      <c r="C156" s="27">
        <f t="shared" si="4"/>
        <v>175</v>
      </c>
      <c r="D156" s="27">
        <v>0</v>
      </c>
      <c r="E156" s="27">
        <f>175</f>
        <v>175</v>
      </c>
      <c r="F156" s="27"/>
      <c r="G156" s="27"/>
      <c r="H156" s="27"/>
    </row>
    <row r="157" spans="1:8" ht="15" customHeight="1" x14ac:dyDescent="0.2">
      <c r="A157" s="28"/>
      <c r="B157" s="28" t="s">
        <v>412</v>
      </c>
      <c r="C157" s="27">
        <f t="shared" si="4"/>
        <v>175</v>
      </c>
      <c r="D157" s="27">
        <v>0</v>
      </c>
      <c r="E157" s="27">
        <f>175</f>
        <v>175</v>
      </c>
      <c r="F157" s="27"/>
      <c r="G157" s="27"/>
      <c r="H157" s="27"/>
    </row>
    <row r="158" spans="1:8" ht="15" customHeight="1" x14ac:dyDescent="0.2">
      <c r="A158" s="28"/>
      <c r="B158" s="28" t="s">
        <v>427</v>
      </c>
      <c r="C158" s="27">
        <f t="shared" si="4"/>
        <v>160</v>
      </c>
      <c r="D158" s="27">
        <v>0</v>
      </c>
      <c r="E158" s="27">
        <f>160</f>
        <v>160</v>
      </c>
      <c r="F158" s="27"/>
      <c r="G158" s="27"/>
      <c r="H158" s="27"/>
    </row>
    <row r="159" spans="1:8" ht="15" customHeight="1" x14ac:dyDescent="0.2">
      <c r="A159" s="28"/>
      <c r="B159" s="28" t="s">
        <v>471</v>
      </c>
      <c r="C159" s="27">
        <f t="shared" si="4"/>
        <v>160</v>
      </c>
      <c r="D159" s="27">
        <v>0</v>
      </c>
      <c r="E159" s="27">
        <f>160</f>
        <v>160</v>
      </c>
      <c r="F159" s="27"/>
      <c r="G159" s="27"/>
      <c r="H159" s="27"/>
    </row>
    <row r="160" spans="1:8" ht="15" customHeight="1" x14ac:dyDescent="0.2">
      <c r="A160" s="28"/>
      <c r="B160" s="28" t="s">
        <v>377</v>
      </c>
      <c r="C160" s="27">
        <f t="shared" si="4"/>
        <v>160</v>
      </c>
      <c r="D160" s="27">
        <f>160</f>
        <v>160</v>
      </c>
      <c r="E160" s="27">
        <v>0</v>
      </c>
      <c r="F160" s="27"/>
      <c r="G160" s="27"/>
      <c r="H160" s="27"/>
    </row>
    <row r="161" spans="1:8" ht="15" customHeight="1" x14ac:dyDescent="0.2">
      <c r="A161" s="28"/>
      <c r="B161" s="28" t="s">
        <v>478</v>
      </c>
      <c r="C161" s="27">
        <f t="shared" si="4"/>
        <v>145</v>
      </c>
      <c r="D161" s="27">
        <v>0</v>
      </c>
      <c r="E161" s="27">
        <f>145</f>
        <v>145</v>
      </c>
      <c r="F161" s="27"/>
      <c r="G161" s="27"/>
      <c r="H161" s="27"/>
    </row>
    <row r="162" spans="1:8" ht="15" customHeight="1" x14ac:dyDescent="0.2">
      <c r="A162" s="28"/>
      <c r="B162" s="28" t="s">
        <v>414</v>
      </c>
      <c r="C162" s="27">
        <f t="shared" si="4"/>
        <v>145</v>
      </c>
      <c r="D162" s="27">
        <v>0</v>
      </c>
      <c r="E162" s="27">
        <f>145</f>
        <v>145</v>
      </c>
      <c r="F162" s="27"/>
      <c r="G162" s="27"/>
      <c r="H162" s="27"/>
    </row>
    <row r="163" spans="1:8" ht="15" customHeight="1" x14ac:dyDescent="0.2">
      <c r="A163" s="28"/>
      <c r="B163" s="28" t="s">
        <v>480</v>
      </c>
      <c r="C163" s="27">
        <f t="shared" si="4"/>
        <v>130</v>
      </c>
      <c r="D163" s="27">
        <v>0</v>
      </c>
      <c r="E163" s="27">
        <f>130</f>
        <v>130</v>
      </c>
      <c r="F163" s="27"/>
      <c r="G163" s="27"/>
      <c r="H163" s="27"/>
    </row>
    <row r="164" spans="1:8" ht="15" customHeight="1" x14ac:dyDescent="0.2">
      <c r="A164" s="28"/>
      <c r="B164" s="28" t="s">
        <v>402</v>
      </c>
      <c r="C164" s="27">
        <f t="shared" si="4"/>
        <v>130</v>
      </c>
      <c r="D164" s="27">
        <f>130</f>
        <v>130</v>
      </c>
      <c r="E164" s="27">
        <v>0</v>
      </c>
      <c r="F164" s="27"/>
      <c r="G164" s="27"/>
      <c r="H164" s="27"/>
    </row>
    <row r="165" spans="1:8" ht="15" customHeight="1" x14ac:dyDescent="0.2">
      <c r="A165" s="28"/>
      <c r="B165" s="28" t="s">
        <v>461</v>
      </c>
      <c r="C165" s="27">
        <f t="shared" si="4"/>
        <v>130</v>
      </c>
      <c r="D165" s="27">
        <v>0</v>
      </c>
      <c r="E165" s="27">
        <f>130</f>
        <v>130</v>
      </c>
      <c r="F165" s="27"/>
      <c r="G165" s="27"/>
      <c r="H165" s="27"/>
    </row>
    <row r="166" spans="1:8" ht="15" customHeight="1" x14ac:dyDescent="0.2">
      <c r="A166" s="28"/>
      <c r="B166" s="28" t="s">
        <v>398</v>
      </c>
      <c r="C166" s="27">
        <f t="shared" si="4"/>
        <v>130</v>
      </c>
      <c r="D166" s="27">
        <f>130</f>
        <v>130</v>
      </c>
      <c r="E166" s="27">
        <v>0</v>
      </c>
      <c r="F166" s="27"/>
      <c r="G166" s="27"/>
      <c r="H166" s="27"/>
    </row>
    <row r="167" spans="1:8" ht="15" customHeight="1" x14ac:dyDescent="0.2">
      <c r="A167" s="28"/>
      <c r="B167" s="28" t="s">
        <v>360</v>
      </c>
      <c r="C167" s="27">
        <f t="shared" si="4"/>
        <v>130</v>
      </c>
      <c r="D167" s="27">
        <f>130</f>
        <v>130</v>
      </c>
      <c r="E167" s="27">
        <v>0</v>
      </c>
      <c r="F167" s="27"/>
      <c r="G167" s="27"/>
      <c r="H167" s="27"/>
    </row>
    <row r="168" spans="1:8" ht="15" customHeight="1" x14ac:dyDescent="0.2">
      <c r="A168" s="28"/>
      <c r="B168" s="28" t="s">
        <v>445</v>
      </c>
      <c r="C168" s="27">
        <f t="shared" si="4"/>
        <v>115</v>
      </c>
      <c r="D168" s="27">
        <v>0</v>
      </c>
      <c r="E168" s="27">
        <f>115</f>
        <v>115</v>
      </c>
      <c r="F168" s="27"/>
      <c r="G168" s="27"/>
      <c r="H168" s="27"/>
    </row>
    <row r="169" spans="1:8" ht="15" customHeight="1" x14ac:dyDescent="0.2">
      <c r="A169" s="28"/>
      <c r="B169" s="28" t="s">
        <v>453</v>
      </c>
      <c r="C169" s="27">
        <f t="shared" si="4"/>
        <v>115</v>
      </c>
      <c r="D169" s="27">
        <v>0</v>
      </c>
      <c r="E169" s="27">
        <f>115</f>
        <v>115</v>
      </c>
      <c r="F169" s="27"/>
      <c r="G169" s="27"/>
      <c r="H169" s="27"/>
    </row>
    <row r="170" spans="1:8" ht="15" customHeight="1" x14ac:dyDescent="0.2">
      <c r="A170" s="28"/>
      <c r="B170" s="28" t="s">
        <v>462</v>
      </c>
      <c r="C170" s="27">
        <f t="shared" ref="C170:C173" si="5">SUM(D170:H170)</f>
        <v>115</v>
      </c>
      <c r="D170" s="27">
        <v>0</v>
      </c>
      <c r="E170" s="27">
        <f>115</f>
        <v>115</v>
      </c>
      <c r="F170" s="27"/>
      <c r="G170" s="27"/>
      <c r="H170" s="27"/>
    </row>
    <row r="171" spans="1:8" ht="15" customHeight="1" x14ac:dyDescent="0.2">
      <c r="A171" s="28"/>
      <c r="B171" s="28" t="s">
        <v>396</v>
      </c>
      <c r="C171" s="27">
        <f t="shared" si="5"/>
        <v>115</v>
      </c>
      <c r="D171" s="27">
        <f>115</f>
        <v>115</v>
      </c>
      <c r="E171" s="27">
        <v>0</v>
      </c>
      <c r="F171" s="27"/>
      <c r="G171" s="27"/>
      <c r="H171" s="27"/>
    </row>
    <row r="172" spans="1:8" ht="15" customHeight="1" x14ac:dyDescent="0.2">
      <c r="A172" s="28"/>
      <c r="B172" s="28" t="s">
        <v>481</v>
      </c>
      <c r="C172" s="27">
        <f t="shared" si="5"/>
        <v>115</v>
      </c>
      <c r="D172" s="27">
        <v>0</v>
      </c>
      <c r="E172" s="27">
        <f>115</f>
        <v>115</v>
      </c>
      <c r="F172" s="27"/>
      <c r="G172" s="27"/>
      <c r="H172" s="27"/>
    </row>
    <row r="173" spans="1:8" ht="15" customHeight="1" x14ac:dyDescent="0.2">
      <c r="A173" s="28"/>
      <c r="B173" s="28" t="s">
        <v>439</v>
      </c>
      <c r="C173" s="27">
        <f t="shared" si="5"/>
        <v>115</v>
      </c>
      <c r="D173" s="27">
        <v>0</v>
      </c>
      <c r="E173" s="27">
        <f>115</f>
        <v>115</v>
      </c>
      <c r="F173" s="27"/>
      <c r="G173" s="27"/>
      <c r="H173" s="27"/>
    </row>
    <row r="174" spans="1:8" ht="13.5" x14ac:dyDescent="0.25">
      <c r="B174" s="26"/>
    </row>
    <row r="175" spans="1:8" ht="15" x14ac:dyDescent="0.25">
      <c r="A175" s="34" t="s">
        <v>361</v>
      </c>
      <c r="B175" s="35"/>
      <c r="C175" s="35"/>
    </row>
    <row r="176" spans="1:8" ht="18.75" customHeight="1" x14ac:dyDescent="0.25">
      <c r="A176" s="32" t="s">
        <v>4</v>
      </c>
      <c r="B176" s="33"/>
      <c r="C176" s="33"/>
      <c r="D176" s="3"/>
      <c r="E176" s="3"/>
      <c r="F176" s="3"/>
      <c r="G176" s="3"/>
      <c r="H176" s="3"/>
    </row>
  </sheetData>
  <sortState ref="A8:E171">
    <sortCondition descending="1" ref="C8:C171"/>
  </sortState>
  <mergeCells count="10">
    <mergeCell ref="A176:C176"/>
    <mergeCell ref="A175:C175"/>
    <mergeCell ref="A1:H1"/>
    <mergeCell ref="A2:H2"/>
    <mergeCell ref="A8:H8"/>
    <mergeCell ref="A3:H3"/>
    <mergeCell ref="A4:H4"/>
    <mergeCell ref="A5:H5"/>
    <mergeCell ref="A7:H7"/>
    <mergeCell ref="A6:H6"/>
  </mergeCells>
  <pageMargins left="0.25" right="0" top="0.25" bottom="0.25" header="0.3" footer="0.3"/>
  <pageSetup paperSize="7" orientation="portrait" r:id="rId1"/>
  <ignoredErrors>
    <ignoredError sqref="E89 D57 E134" formula="1"/>
  </ignoredError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3"/>
  <sheetViews>
    <sheetView workbookViewId="0">
      <selection activeCell="C8" sqref="C8"/>
    </sheetView>
  </sheetViews>
  <sheetFormatPr defaultRowHeight="12.75" x14ac:dyDescent="0.2"/>
  <cols>
    <col min="1" max="1" width="8.42578125" customWidth="1"/>
    <col min="2" max="2" width="26.28515625" customWidth="1"/>
    <col min="3" max="3" width="9.5703125" customWidth="1"/>
    <col min="4" max="15" width="6.7109375" customWidth="1"/>
    <col min="16" max="16" width="8.7109375" customWidth="1"/>
  </cols>
  <sheetData>
    <row r="1" spans="1:15" ht="126" customHeight="1" x14ac:dyDescent="0.2">
      <c r="A1" s="36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</row>
    <row r="2" spans="1:15" ht="45" customHeight="1" x14ac:dyDescent="0.5">
      <c r="A2" s="54" t="s">
        <v>17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</row>
    <row r="3" spans="1:15" ht="33" customHeight="1" x14ac:dyDescent="0.4">
      <c r="A3" s="55" t="s">
        <v>107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</row>
    <row r="4" spans="1:15" ht="9.75" customHeight="1" x14ac:dyDescent="0.4">
      <c r="A4" s="55"/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</row>
    <row r="5" spans="1:15" ht="30" customHeight="1" x14ac:dyDescent="0.4">
      <c r="A5" s="57" t="s">
        <v>9</v>
      </c>
      <c r="B5" s="58"/>
      <c r="C5" s="58"/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</row>
    <row r="6" spans="1:15" ht="16.5" customHeight="1" x14ac:dyDescent="0.2">
      <c r="A6" s="38"/>
      <c r="B6" s="38"/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</row>
    <row r="7" spans="1:15" ht="15" customHeight="1" x14ac:dyDescent="0.25">
      <c r="A7" s="1" t="s">
        <v>1</v>
      </c>
      <c r="B7" s="1" t="s">
        <v>0</v>
      </c>
      <c r="C7" s="1" t="s">
        <v>2</v>
      </c>
      <c r="D7" s="2">
        <v>44780</v>
      </c>
      <c r="E7" s="2">
        <v>44787</v>
      </c>
      <c r="F7" s="2">
        <v>44794</v>
      </c>
      <c r="G7" s="2">
        <v>44801</v>
      </c>
      <c r="H7" s="2">
        <v>44808</v>
      </c>
      <c r="I7" s="2">
        <v>44815</v>
      </c>
      <c r="J7" s="2">
        <v>44822</v>
      </c>
      <c r="K7" s="2">
        <v>44829</v>
      </c>
      <c r="L7" s="2">
        <v>44836</v>
      </c>
      <c r="M7" s="2">
        <v>44843</v>
      </c>
      <c r="N7" s="2">
        <v>44850</v>
      </c>
      <c r="O7" s="2">
        <v>44857</v>
      </c>
    </row>
    <row r="8" spans="1:15" ht="15" customHeight="1" x14ac:dyDescent="0.2">
      <c r="A8" s="6">
        <v>1</v>
      </c>
      <c r="B8" s="6" t="s">
        <v>16</v>
      </c>
      <c r="C8" s="7">
        <f t="shared" ref="C8:C49" si="0">D8+E8+F8+G8+H8+I8+J8+K8+L8+M8+N8+O8</f>
        <v>5325</v>
      </c>
      <c r="D8" s="8">
        <v>375</v>
      </c>
      <c r="E8" s="9">
        <v>325</v>
      </c>
      <c r="F8" s="9">
        <v>425</v>
      </c>
      <c r="G8" s="8">
        <v>475</v>
      </c>
      <c r="H8" s="9">
        <v>275</v>
      </c>
      <c r="I8" s="9">
        <v>475</v>
      </c>
      <c r="J8" s="9">
        <v>475</v>
      </c>
      <c r="K8" s="9">
        <v>575</v>
      </c>
      <c r="L8" s="9">
        <v>575</v>
      </c>
      <c r="M8" s="9">
        <v>350</v>
      </c>
      <c r="N8" s="9">
        <v>425</v>
      </c>
      <c r="O8" s="9">
        <v>575</v>
      </c>
    </row>
    <row r="9" spans="1:15" ht="15" customHeight="1" x14ac:dyDescent="0.2">
      <c r="A9" s="6">
        <v>2</v>
      </c>
      <c r="B9" s="6" t="s">
        <v>22</v>
      </c>
      <c r="C9" s="7">
        <f t="shared" si="0"/>
        <v>3520</v>
      </c>
      <c r="D9" s="8">
        <v>475</v>
      </c>
      <c r="E9" s="9">
        <v>300</v>
      </c>
      <c r="F9" s="9">
        <v>300</v>
      </c>
      <c r="G9" s="9">
        <v>200</v>
      </c>
      <c r="H9" s="9">
        <v>575</v>
      </c>
      <c r="I9" s="8">
        <v>0</v>
      </c>
      <c r="J9" s="8">
        <v>0</v>
      </c>
      <c r="K9" s="9">
        <v>425</v>
      </c>
      <c r="L9" s="9">
        <v>425</v>
      </c>
      <c r="M9" s="9">
        <v>145</v>
      </c>
      <c r="N9" s="9">
        <v>300</v>
      </c>
      <c r="O9" s="8">
        <v>375</v>
      </c>
    </row>
    <row r="10" spans="1:15" ht="15" customHeight="1" x14ac:dyDescent="0.2">
      <c r="A10" s="6">
        <v>3</v>
      </c>
      <c r="B10" s="6" t="s">
        <v>19</v>
      </c>
      <c r="C10" s="7">
        <f t="shared" si="0"/>
        <v>3335</v>
      </c>
      <c r="D10" s="8">
        <v>160</v>
      </c>
      <c r="E10" s="9">
        <v>250</v>
      </c>
      <c r="F10" s="8">
        <v>0</v>
      </c>
      <c r="G10" s="9">
        <v>325</v>
      </c>
      <c r="H10" s="9">
        <v>250</v>
      </c>
      <c r="I10" s="8">
        <v>425</v>
      </c>
      <c r="J10" s="9">
        <v>250</v>
      </c>
      <c r="K10" s="8">
        <v>375</v>
      </c>
      <c r="L10" s="8">
        <v>475</v>
      </c>
      <c r="M10" s="8">
        <v>325</v>
      </c>
      <c r="N10" s="9">
        <v>275</v>
      </c>
      <c r="O10" s="8">
        <v>225</v>
      </c>
    </row>
    <row r="11" spans="1:15" ht="15" customHeight="1" x14ac:dyDescent="0.2">
      <c r="A11" s="6">
        <v>4</v>
      </c>
      <c r="B11" s="6" t="s">
        <v>65</v>
      </c>
      <c r="C11" s="7">
        <f t="shared" si="0"/>
        <v>2950</v>
      </c>
      <c r="D11" s="8">
        <v>175</v>
      </c>
      <c r="E11" s="9">
        <v>375</v>
      </c>
      <c r="F11" s="9">
        <v>275</v>
      </c>
      <c r="G11" s="9">
        <v>250</v>
      </c>
      <c r="H11" s="8">
        <v>0</v>
      </c>
      <c r="I11" s="8">
        <v>275</v>
      </c>
      <c r="J11" s="8">
        <v>350</v>
      </c>
      <c r="K11" s="8">
        <v>0</v>
      </c>
      <c r="L11" s="8">
        <v>275</v>
      </c>
      <c r="M11" s="8">
        <v>175</v>
      </c>
      <c r="N11" s="8">
        <v>375</v>
      </c>
      <c r="O11" s="9">
        <v>425</v>
      </c>
    </row>
    <row r="12" spans="1:15" ht="15" customHeight="1" x14ac:dyDescent="0.2">
      <c r="A12" s="6">
        <v>5</v>
      </c>
      <c r="B12" s="6" t="s">
        <v>110</v>
      </c>
      <c r="C12" s="7">
        <f t="shared" si="0"/>
        <v>2875</v>
      </c>
      <c r="D12" s="8">
        <v>0</v>
      </c>
      <c r="E12" s="8">
        <v>0</v>
      </c>
      <c r="F12" s="9">
        <v>375</v>
      </c>
      <c r="G12" s="8">
        <v>425</v>
      </c>
      <c r="H12" s="8">
        <v>0</v>
      </c>
      <c r="I12" s="9">
        <v>325</v>
      </c>
      <c r="J12" s="8">
        <v>425</v>
      </c>
      <c r="K12" s="8">
        <v>350</v>
      </c>
      <c r="L12" s="8">
        <v>375</v>
      </c>
      <c r="M12" s="8">
        <v>300</v>
      </c>
      <c r="N12" s="8">
        <v>0</v>
      </c>
      <c r="O12" s="8">
        <v>300</v>
      </c>
    </row>
    <row r="13" spans="1:15" ht="15" customHeight="1" x14ac:dyDescent="0.2">
      <c r="A13" s="6">
        <v>6</v>
      </c>
      <c r="B13" s="6" t="s">
        <v>60</v>
      </c>
      <c r="C13" s="7">
        <f t="shared" si="0"/>
        <v>2460</v>
      </c>
      <c r="D13" s="8">
        <v>300</v>
      </c>
      <c r="E13" s="8">
        <v>200</v>
      </c>
      <c r="F13" s="9">
        <v>145</v>
      </c>
      <c r="G13" s="9">
        <v>225</v>
      </c>
      <c r="H13" s="8">
        <v>0</v>
      </c>
      <c r="I13" s="8">
        <v>225</v>
      </c>
      <c r="J13" s="9">
        <v>300</v>
      </c>
      <c r="K13" s="9">
        <v>475</v>
      </c>
      <c r="L13" s="8">
        <v>0</v>
      </c>
      <c r="M13" s="9">
        <v>115</v>
      </c>
      <c r="N13" s="8">
        <v>0</v>
      </c>
      <c r="O13" s="9">
        <v>475</v>
      </c>
    </row>
    <row r="14" spans="1:15" ht="15" customHeight="1" x14ac:dyDescent="0.2">
      <c r="A14" s="6">
        <v>7</v>
      </c>
      <c r="B14" s="6" t="s">
        <v>38</v>
      </c>
      <c r="C14" s="7">
        <f t="shared" si="0"/>
        <v>1820</v>
      </c>
      <c r="D14" s="8">
        <v>145</v>
      </c>
      <c r="E14" s="8">
        <v>0</v>
      </c>
      <c r="F14" s="8">
        <v>575</v>
      </c>
      <c r="G14" s="8">
        <v>0</v>
      </c>
      <c r="H14" s="9">
        <v>350</v>
      </c>
      <c r="I14" s="8">
        <v>0</v>
      </c>
      <c r="J14" s="8">
        <v>0</v>
      </c>
      <c r="K14" s="8">
        <v>0</v>
      </c>
      <c r="L14" s="8">
        <v>200</v>
      </c>
      <c r="M14" s="8">
        <v>0</v>
      </c>
      <c r="N14" s="9">
        <v>350</v>
      </c>
      <c r="O14" s="9">
        <v>200</v>
      </c>
    </row>
    <row r="15" spans="1:15" ht="15" customHeight="1" x14ac:dyDescent="0.2">
      <c r="A15" s="6">
        <v>8</v>
      </c>
      <c r="B15" s="6" t="s">
        <v>89</v>
      </c>
      <c r="C15" s="7">
        <f t="shared" si="0"/>
        <v>1800</v>
      </c>
      <c r="D15" s="8">
        <v>425</v>
      </c>
      <c r="E15" s="8">
        <v>0</v>
      </c>
      <c r="F15" s="8">
        <v>0</v>
      </c>
      <c r="G15" s="8">
        <v>0</v>
      </c>
      <c r="H15" s="8">
        <v>0</v>
      </c>
      <c r="I15" s="8">
        <v>575</v>
      </c>
      <c r="J15" s="8">
        <v>0</v>
      </c>
      <c r="K15" s="8">
        <v>0</v>
      </c>
      <c r="L15" s="9">
        <v>325</v>
      </c>
      <c r="M15" s="8">
        <v>0</v>
      </c>
      <c r="N15" s="8">
        <v>475</v>
      </c>
      <c r="O15" s="8">
        <v>0</v>
      </c>
    </row>
    <row r="16" spans="1:15" ht="15" customHeight="1" x14ac:dyDescent="0.2">
      <c r="A16" s="6">
        <v>9</v>
      </c>
      <c r="B16" s="6" t="s">
        <v>61</v>
      </c>
      <c r="C16" s="7">
        <f t="shared" si="0"/>
        <v>1785</v>
      </c>
      <c r="D16" s="8">
        <v>350</v>
      </c>
      <c r="E16" s="8">
        <v>0</v>
      </c>
      <c r="F16" s="9">
        <v>250</v>
      </c>
      <c r="G16" s="8">
        <v>575</v>
      </c>
      <c r="H16" s="8">
        <v>0</v>
      </c>
      <c r="I16" s="8">
        <v>160</v>
      </c>
      <c r="J16" s="8">
        <v>275</v>
      </c>
      <c r="K16" s="8">
        <v>0</v>
      </c>
      <c r="L16" s="8">
        <v>0</v>
      </c>
      <c r="M16" s="8">
        <v>0</v>
      </c>
      <c r="N16" s="8">
        <v>0</v>
      </c>
      <c r="O16" s="9">
        <v>175</v>
      </c>
    </row>
    <row r="17" spans="1:15" ht="15" customHeight="1" x14ac:dyDescent="0.2">
      <c r="A17" s="6">
        <v>10</v>
      </c>
      <c r="B17" s="6" t="s">
        <v>14</v>
      </c>
      <c r="C17" s="7">
        <f t="shared" si="0"/>
        <v>1775</v>
      </c>
      <c r="D17" s="8">
        <v>0</v>
      </c>
      <c r="E17" s="9">
        <v>475</v>
      </c>
      <c r="F17" s="8">
        <v>0</v>
      </c>
      <c r="G17" s="8">
        <v>0</v>
      </c>
      <c r="H17" s="9">
        <v>375</v>
      </c>
      <c r="I17" s="8">
        <v>0</v>
      </c>
      <c r="J17" s="8">
        <v>0</v>
      </c>
      <c r="K17" s="8">
        <v>0</v>
      </c>
      <c r="L17" s="8">
        <v>350</v>
      </c>
      <c r="M17" s="8">
        <v>575</v>
      </c>
      <c r="N17" s="8">
        <v>0</v>
      </c>
      <c r="O17" s="8">
        <v>0</v>
      </c>
    </row>
    <row r="18" spans="1:15" ht="15" customHeight="1" x14ac:dyDescent="0.2">
      <c r="A18" s="6">
        <v>11</v>
      </c>
      <c r="B18" s="6" t="s">
        <v>32</v>
      </c>
      <c r="C18" s="8">
        <f t="shared" si="0"/>
        <v>1575</v>
      </c>
      <c r="D18" s="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275</v>
      </c>
      <c r="L18" s="8">
        <v>175</v>
      </c>
      <c r="M18" s="8">
        <v>225</v>
      </c>
      <c r="N18" s="8">
        <v>575</v>
      </c>
      <c r="O18" s="9">
        <v>325</v>
      </c>
    </row>
    <row r="19" spans="1:15" ht="15" customHeight="1" x14ac:dyDescent="0.2">
      <c r="A19" s="6">
        <v>12</v>
      </c>
      <c r="B19" s="6" t="s">
        <v>13</v>
      </c>
      <c r="C19" s="8">
        <f t="shared" si="0"/>
        <v>1450</v>
      </c>
      <c r="D19" s="8">
        <v>200</v>
      </c>
      <c r="E19" s="8">
        <v>275</v>
      </c>
      <c r="F19" s="9">
        <v>200</v>
      </c>
      <c r="G19" s="8">
        <v>0</v>
      </c>
      <c r="H19" s="8">
        <v>0</v>
      </c>
      <c r="I19" s="9">
        <v>200</v>
      </c>
      <c r="J19" s="8">
        <v>0</v>
      </c>
      <c r="K19" s="8">
        <v>300</v>
      </c>
      <c r="L19" s="8">
        <v>0</v>
      </c>
      <c r="M19" s="9">
        <v>275</v>
      </c>
      <c r="N19" s="8">
        <v>0</v>
      </c>
      <c r="O19" s="8">
        <v>0</v>
      </c>
    </row>
    <row r="20" spans="1:15" ht="15" customHeight="1" x14ac:dyDescent="0.2">
      <c r="A20" s="6">
        <v>13</v>
      </c>
      <c r="B20" s="6" t="s">
        <v>7</v>
      </c>
      <c r="C20" s="8">
        <f t="shared" si="0"/>
        <v>1425</v>
      </c>
      <c r="D20" s="8">
        <v>0</v>
      </c>
      <c r="E20" s="9">
        <v>425</v>
      </c>
      <c r="F20" s="8">
        <v>0</v>
      </c>
      <c r="G20" s="8">
        <v>0</v>
      </c>
      <c r="H20" s="9">
        <v>325</v>
      </c>
      <c r="I20" s="8">
        <v>0</v>
      </c>
      <c r="J20" s="8">
        <v>0</v>
      </c>
      <c r="K20" s="8">
        <v>0</v>
      </c>
      <c r="L20" s="8">
        <v>300</v>
      </c>
      <c r="M20" s="8">
        <v>375</v>
      </c>
      <c r="N20" s="8">
        <v>0</v>
      </c>
      <c r="O20" s="8">
        <v>0</v>
      </c>
    </row>
    <row r="21" spans="1:15" ht="15" customHeight="1" x14ac:dyDescent="0.2">
      <c r="A21" s="6">
        <v>14</v>
      </c>
      <c r="B21" s="6" t="s">
        <v>10</v>
      </c>
      <c r="C21" s="8">
        <f t="shared" si="0"/>
        <v>1350</v>
      </c>
      <c r="D21" s="8">
        <v>575</v>
      </c>
      <c r="E21" s="8">
        <v>575</v>
      </c>
      <c r="F21" s="8">
        <v>0</v>
      </c>
      <c r="G21" s="8">
        <v>0</v>
      </c>
      <c r="H21" s="8">
        <v>0</v>
      </c>
      <c r="I21" s="8">
        <v>0</v>
      </c>
      <c r="J21" s="8">
        <v>200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</row>
    <row r="22" spans="1:15" ht="15" customHeight="1" x14ac:dyDescent="0.2">
      <c r="A22" s="6">
        <v>15</v>
      </c>
      <c r="B22" s="6" t="s">
        <v>103</v>
      </c>
      <c r="C22" s="8">
        <f t="shared" si="0"/>
        <v>1195</v>
      </c>
      <c r="D22" s="8">
        <v>225</v>
      </c>
      <c r="E22" s="8">
        <v>350</v>
      </c>
      <c r="F22" s="8">
        <v>475</v>
      </c>
      <c r="G22" s="8">
        <v>0</v>
      </c>
      <c r="H22" s="8">
        <v>0</v>
      </c>
      <c r="I22" s="8">
        <v>145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</row>
    <row r="23" spans="1:15" ht="15" customHeight="1" x14ac:dyDescent="0.2">
      <c r="A23" s="6">
        <v>16</v>
      </c>
      <c r="B23" s="6" t="s">
        <v>109</v>
      </c>
      <c r="C23" s="8">
        <f t="shared" si="0"/>
        <v>1170</v>
      </c>
      <c r="D23" s="8">
        <v>0</v>
      </c>
      <c r="E23" s="8">
        <v>145</v>
      </c>
      <c r="F23" s="8">
        <v>0</v>
      </c>
      <c r="G23" s="9">
        <v>275</v>
      </c>
      <c r="H23" s="8">
        <v>200</v>
      </c>
      <c r="I23" s="8">
        <v>175</v>
      </c>
      <c r="J23" s="8">
        <v>375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</row>
    <row r="24" spans="1:15" ht="15" customHeight="1" x14ac:dyDescent="0.2">
      <c r="A24" s="6">
        <v>17</v>
      </c>
      <c r="B24" s="6" t="s">
        <v>11</v>
      </c>
      <c r="C24" s="8">
        <f t="shared" si="0"/>
        <v>1150</v>
      </c>
      <c r="D24" s="8">
        <v>250</v>
      </c>
      <c r="E24" s="8">
        <v>225</v>
      </c>
      <c r="F24" s="8">
        <v>0</v>
      </c>
      <c r="G24" s="8">
        <v>0</v>
      </c>
      <c r="H24" s="8">
        <v>0</v>
      </c>
      <c r="I24" s="8">
        <v>350</v>
      </c>
      <c r="J24" s="8">
        <v>325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</row>
    <row r="25" spans="1:15" ht="15" customHeight="1" x14ac:dyDescent="0.2">
      <c r="A25" s="6">
        <v>18</v>
      </c>
      <c r="B25" s="6" t="s">
        <v>24</v>
      </c>
      <c r="C25" s="8">
        <f t="shared" si="0"/>
        <v>1130</v>
      </c>
      <c r="D25" s="8">
        <v>130</v>
      </c>
      <c r="E25" s="8">
        <v>175</v>
      </c>
      <c r="F25" s="9">
        <v>225</v>
      </c>
      <c r="G25" s="8">
        <v>375</v>
      </c>
      <c r="H25" s="9">
        <v>225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</row>
    <row r="26" spans="1:15" ht="15" customHeight="1" x14ac:dyDescent="0.2">
      <c r="A26" s="6">
        <v>19</v>
      </c>
      <c r="B26" s="6" t="s">
        <v>54</v>
      </c>
      <c r="C26" s="8">
        <f t="shared" si="0"/>
        <v>1105</v>
      </c>
      <c r="D26" s="8">
        <v>325</v>
      </c>
      <c r="E26" s="8">
        <v>130</v>
      </c>
      <c r="F26" s="8">
        <v>0</v>
      </c>
      <c r="G26" s="8">
        <v>300</v>
      </c>
      <c r="H26" s="8">
        <v>0</v>
      </c>
      <c r="I26" s="8">
        <v>0</v>
      </c>
      <c r="J26" s="8">
        <v>175</v>
      </c>
      <c r="K26" s="8">
        <v>0</v>
      </c>
      <c r="L26" s="8">
        <v>0</v>
      </c>
      <c r="M26" s="8">
        <v>0</v>
      </c>
      <c r="N26" s="8">
        <v>175</v>
      </c>
      <c r="O26" s="8">
        <v>0</v>
      </c>
    </row>
    <row r="27" spans="1:15" ht="15" customHeight="1" x14ac:dyDescent="0.2">
      <c r="A27" s="6">
        <v>20</v>
      </c>
      <c r="B27" s="6" t="s">
        <v>87</v>
      </c>
      <c r="C27" s="8">
        <f t="shared" si="0"/>
        <v>1010</v>
      </c>
      <c r="D27" s="8">
        <v>275</v>
      </c>
      <c r="E27" s="8">
        <v>0</v>
      </c>
      <c r="F27" s="8">
        <v>0</v>
      </c>
      <c r="G27" s="8">
        <v>0</v>
      </c>
      <c r="H27" s="8">
        <v>0</v>
      </c>
      <c r="I27" s="8">
        <v>300</v>
      </c>
      <c r="J27" s="8">
        <v>0</v>
      </c>
      <c r="K27" s="8">
        <v>0</v>
      </c>
      <c r="L27" s="8">
        <v>0</v>
      </c>
      <c r="M27" s="8">
        <v>0</v>
      </c>
      <c r="N27" s="9">
        <v>160</v>
      </c>
      <c r="O27" s="8">
        <v>275</v>
      </c>
    </row>
    <row r="28" spans="1:15" ht="15" customHeight="1" x14ac:dyDescent="0.2">
      <c r="A28" s="6">
        <v>21</v>
      </c>
      <c r="B28" s="6" t="s">
        <v>112</v>
      </c>
      <c r="C28" s="8">
        <f t="shared" si="0"/>
        <v>750</v>
      </c>
      <c r="D28" s="8">
        <v>0</v>
      </c>
      <c r="E28" s="9">
        <v>0</v>
      </c>
      <c r="F28" s="9">
        <v>325</v>
      </c>
      <c r="G28" s="8">
        <v>0</v>
      </c>
      <c r="H28" s="9">
        <v>425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</row>
    <row r="29" spans="1:15" ht="15" customHeight="1" x14ac:dyDescent="0.2">
      <c r="A29" s="6">
        <v>22</v>
      </c>
      <c r="B29" s="6" t="s">
        <v>119</v>
      </c>
      <c r="C29" s="8">
        <f t="shared" si="0"/>
        <v>725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250</v>
      </c>
      <c r="L29" s="8">
        <v>0</v>
      </c>
      <c r="M29" s="8">
        <v>475</v>
      </c>
      <c r="N29" s="8">
        <v>0</v>
      </c>
      <c r="O29" s="8">
        <v>0</v>
      </c>
    </row>
    <row r="30" spans="1:15" ht="15" customHeight="1" x14ac:dyDescent="0.2">
      <c r="A30" s="6">
        <v>23</v>
      </c>
      <c r="B30" s="6" t="s">
        <v>122</v>
      </c>
      <c r="C30" s="8">
        <f t="shared" si="0"/>
        <v>650</v>
      </c>
      <c r="D30" s="8">
        <v>0</v>
      </c>
      <c r="E30" s="9">
        <v>0</v>
      </c>
      <c r="F30" s="8">
        <v>0</v>
      </c>
      <c r="G30" s="8">
        <v>0</v>
      </c>
      <c r="H30" s="8">
        <v>0</v>
      </c>
      <c r="I30" s="8">
        <v>0</v>
      </c>
      <c r="J30" s="8">
        <v>225</v>
      </c>
      <c r="K30" s="8">
        <v>0</v>
      </c>
      <c r="L30" s="8">
        <v>0</v>
      </c>
      <c r="M30" s="8">
        <v>425</v>
      </c>
      <c r="N30" s="8">
        <v>0</v>
      </c>
      <c r="O30" s="8">
        <v>0</v>
      </c>
    </row>
    <row r="31" spans="1:15" ht="15" customHeight="1" x14ac:dyDescent="0.2">
      <c r="A31" s="6">
        <v>24</v>
      </c>
      <c r="B31" s="6" t="s">
        <v>113</v>
      </c>
      <c r="C31" s="8">
        <f t="shared" si="0"/>
        <v>635</v>
      </c>
      <c r="D31" s="8">
        <v>0</v>
      </c>
      <c r="E31" s="8">
        <v>0</v>
      </c>
      <c r="F31" s="8">
        <v>160</v>
      </c>
      <c r="G31" s="8">
        <v>0</v>
      </c>
      <c r="H31" s="8">
        <v>475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</row>
    <row r="32" spans="1:15" ht="15" customHeight="1" x14ac:dyDescent="0.2">
      <c r="A32" s="6">
        <v>25</v>
      </c>
      <c r="B32" s="6" t="s">
        <v>118</v>
      </c>
      <c r="C32" s="8">
        <f t="shared" si="0"/>
        <v>575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575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</row>
    <row r="33" spans="1:15" ht="15" customHeight="1" x14ac:dyDescent="0.2">
      <c r="A33" s="6">
        <v>25</v>
      </c>
      <c r="B33" s="6" t="s">
        <v>127</v>
      </c>
      <c r="C33" s="8">
        <f t="shared" si="0"/>
        <v>575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225</v>
      </c>
      <c r="O33" s="8">
        <v>350</v>
      </c>
    </row>
    <row r="34" spans="1:15" ht="15" customHeight="1" x14ac:dyDescent="0.2">
      <c r="A34" s="6">
        <v>26</v>
      </c>
      <c r="B34" s="6" t="s">
        <v>128</v>
      </c>
      <c r="C34" s="8">
        <f t="shared" si="0"/>
        <v>450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9">
        <v>200</v>
      </c>
      <c r="O34" s="9">
        <v>250</v>
      </c>
    </row>
    <row r="35" spans="1:15" ht="15" customHeight="1" x14ac:dyDescent="0.2">
      <c r="A35" s="6">
        <v>27</v>
      </c>
      <c r="B35" s="6" t="s">
        <v>30</v>
      </c>
      <c r="C35" s="8">
        <f t="shared" si="0"/>
        <v>440</v>
      </c>
      <c r="D35" s="8">
        <v>0</v>
      </c>
      <c r="E35" s="9">
        <v>115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325</v>
      </c>
      <c r="L35" s="8">
        <v>0</v>
      </c>
      <c r="M35" s="8">
        <v>0</v>
      </c>
      <c r="N35" s="8">
        <v>0</v>
      </c>
      <c r="O35" s="8">
        <v>0</v>
      </c>
    </row>
    <row r="36" spans="1:15" ht="15" customHeight="1" x14ac:dyDescent="0.2">
      <c r="A36" s="6">
        <v>28</v>
      </c>
      <c r="B36" s="6" t="s">
        <v>120</v>
      </c>
      <c r="C36" s="8">
        <f t="shared" si="0"/>
        <v>425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225</v>
      </c>
      <c r="L36" s="8">
        <v>0</v>
      </c>
      <c r="M36" s="8">
        <v>200</v>
      </c>
      <c r="N36" s="8">
        <v>0</v>
      </c>
      <c r="O36" s="8">
        <v>0</v>
      </c>
    </row>
    <row r="37" spans="1:15" ht="15" customHeight="1" x14ac:dyDescent="0.2">
      <c r="A37" s="6">
        <v>29</v>
      </c>
      <c r="B37" s="6" t="s">
        <v>126</v>
      </c>
      <c r="C37" s="8">
        <f t="shared" si="0"/>
        <v>410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250</v>
      </c>
      <c r="O37" s="9">
        <v>160</v>
      </c>
    </row>
    <row r="38" spans="1:15" ht="15" customHeight="1" x14ac:dyDescent="0.2">
      <c r="A38" s="6">
        <v>30</v>
      </c>
      <c r="B38" s="6" t="s">
        <v>117</v>
      </c>
      <c r="C38" s="8">
        <f t="shared" si="0"/>
        <v>375</v>
      </c>
      <c r="D38" s="8">
        <v>0</v>
      </c>
      <c r="E38" s="9">
        <v>0</v>
      </c>
      <c r="F38" s="8">
        <v>0</v>
      </c>
      <c r="G38" s="8">
        <v>0</v>
      </c>
      <c r="H38" s="8">
        <v>0</v>
      </c>
      <c r="I38" s="8">
        <v>375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</row>
    <row r="39" spans="1:15" ht="15" customHeight="1" x14ac:dyDescent="0.2">
      <c r="A39" s="6">
        <v>31</v>
      </c>
      <c r="B39" s="6" t="s">
        <v>18</v>
      </c>
      <c r="C39" s="8">
        <f t="shared" si="0"/>
        <v>355</v>
      </c>
      <c r="D39" s="8">
        <v>0</v>
      </c>
      <c r="E39" s="8">
        <v>0</v>
      </c>
      <c r="F39" s="9">
        <v>130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225</v>
      </c>
      <c r="M39" s="8">
        <v>0</v>
      </c>
      <c r="N39" s="8">
        <v>0</v>
      </c>
      <c r="O39" s="8">
        <v>0</v>
      </c>
    </row>
    <row r="40" spans="1:15" ht="15" customHeight="1" x14ac:dyDescent="0.2">
      <c r="A40" s="6">
        <v>31</v>
      </c>
      <c r="B40" s="6" t="s">
        <v>114</v>
      </c>
      <c r="C40" s="8">
        <f t="shared" si="0"/>
        <v>350</v>
      </c>
      <c r="D40" s="8">
        <v>0</v>
      </c>
      <c r="E40" s="8">
        <v>0</v>
      </c>
      <c r="F40" s="8">
        <v>0</v>
      </c>
      <c r="G40" s="8">
        <v>350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</row>
    <row r="41" spans="1:15" ht="15" customHeight="1" x14ac:dyDescent="0.2">
      <c r="A41" s="6">
        <v>32</v>
      </c>
      <c r="B41" s="6" t="s">
        <v>111</v>
      </c>
      <c r="C41" s="8">
        <f t="shared" si="0"/>
        <v>350</v>
      </c>
      <c r="D41" s="8">
        <v>0</v>
      </c>
      <c r="E41" s="8">
        <v>0</v>
      </c>
      <c r="F41" s="8">
        <v>350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</row>
    <row r="42" spans="1:15" ht="15" customHeight="1" x14ac:dyDescent="0.2">
      <c r="A42" s="10">
        <v>33</v>
      </c>
      <c r="B42" s="10" t="s">
        <v>125</v>
      </c>
      <c r="C42" s="11">
        <f t="shared" si="0"/>
        <v>325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325</v>
      </c>
      <c r="O42" s="11">
        <v>0</v>
      </c>
    </row>
    <row r="43" spans="1:15" ht="15" customHeight="1" x14ac:dyDescent="0.2">
      <c r="A43" s="10">
        <v>34</v>
      </c>
      <c r="B43" s="10" t="s">
        <v>116</v>
      </c>
      <c r="C43" s="11">
        <f t="shared" si="0"/>
        <v>300</v>
      </c>
      <c r="D43" s="11">
        <v>0</v>
      </c>
      <c r="E43" s="12">
        <v>0</v>
      </c>
      <c r="F43" s="12">
        <v>0</v>
      </c>
      <c r="G43" s="11">
        <v>0</v>
      </c>
      <c r="H43" s="12">
        <v>300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</row>
    <row r="44" spans="1:15" ht="15" customHeight="1" x14ac:dyDescent="0.2">
      <c r="A44" s="10">
        <v>35</v>
      </c>
      <c r="B44" s="10" t="s">
        <v>123</v>
      </c>
      <c r="C44" s="11">
        <f t="shared" si="0"/>
        <v>250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2">
        <v>250</v>
      </c>
      <c r="N44" s="11">
        <v>0</v>
      </c>
      <c r="O44" s="11">
        <v>0</v>
      </c>
    </row>
    <row r="45" spans="1:15" ht="15" customHeight="1" x14ac:dyDescent="0.2">
      <c r="A45" s="10">
        <v>36</v>
      </c>
      <c r="B45" s="10" t="s">
        <v>115</v>
      </c>
      <c r="C45" s="11">
        <f t="shared" si="0"/>
        <v>175</v>
      </c>
      <c r="D45" s="11">
        <v>0</v>
      </c>
      <c r="E45" s="11">
        <v>0</v>
      </c>
      <c r="F45" s="11">
        <v>0</v>
      </c>
      <c r="G45" s="11">
        <v>175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</row>
    <row r="46" spans="1:15" ht="15" customHeight="1" x14ac:dyDescent="0.2">
      <c r="A46" s="10">
        <v>37</v>
      </c>
      <c r="B46" s="10" t="s">
        <v>124</v>
      </c>
      <c r="C46" s="11">
        <f t="shared" si="0"/>
        <v>160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160</v>
      </c>
      <c r="N46" s="11">
        <v>0</v>
      </c>
      <c r="O46" s="11">
        <v>0</v>
      </c>
    </row>
    <row r="47" spans="1:15" ht="15" customHeight="1" x14ac:dyDescent="0.2">
      <c r="A47" s="10">
        <v>37</v>
      </c>
      <c r="B47" s="10" t="s">
        <v>121</v>
      </c>
      <c r="C47" s="11">
        <f t="shared" si="0"/>
        <v>160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160</v>
      </c>
      <c r="M47" s="11">
        <v>0</v>
      </c>
      <c r="N47" s="11">
        <v>0</v>
      </c>
      <c r="O47" s="11">
        <v>0</v>
      </c>
    </row>
    <row r="48" spans="1:15" ht="15" customHeight="1" x14ac:dyDescent="0.2">
      <c r="A48" s="10">
        <v>37</v>
      </c>
      <c r="B48" s="10" t="s">
        <v>108</v>
      </c>
      <c r="C48" s="11">
        <f t="shared" si="0"/>
        <v>160</v>
      </c>
      <c r="D48" s="11">
        <v>0</v>
      </c>
      <c r="E48" s="11">
        <v>160</v>
      </c>
      <c r="F48" s="11">
        <v>0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</row>
    <row r="49" spans="1:15" ht="15" customHeight="1" x14ac:dyDescent="0.2">
      <c r="A49" s="10">
        <v>38</v>
      </c>
      <c r="B49" s="10" t="s">
        <v>98</v>
      </c>
      <c r="C49" s="11">
        <f t="shared" si="0"/>
        <v>130</v>
      </c>
      <c r="D49" s="11">
        <v>0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130</v>
      </c>
      <c r="N49" s="11">
        <v>0</v>
      </c>
      <c r="O49" s="11">
        <v>0</v>
      </c>
    </row>
    <row r="51" spans="1:15" ht="18.75" customHeight="1" x14ac:dyDescent="0.25">
      <c r="A51" s="48" t="s">
        <v>3</v>
      </c>
      <c r="B51" s="49"/>
      <c r="C51" s="49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</row>
    <row r="52" spans="1:15" ht="18.75" customHeight="1" x14ac:dyDescent="0.25">
      <c r="A52" s="50" t="s">
        <v>4</v>
      </c>
      <c r="B52" s="51"/>
      <c r="C52" s="51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</row>
    <row r="53" spans="1:15" ht="18.75" customHeight="1" x14ac:dyDescent="0.25">
      <c r="A53" s="52" t="s">
        <v>5</v>
      </c>
      <c r="B53" s="53"/>
      <c r="C53" s="53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</row>
  </sheetData>
  <mergeCells count="9">
    <mergeCell ref="A51:C51"/>
    <mergeCell ref="A52:C52"/>
    <mergeCell ref="A53:C53"/>
    <mergeCell ref="A1:O1"/>
    <mergeCell ref="A2:O2"/>
    <mergeCell ref="A3:O3"/>
    <mergeCell ref="A4:O4"/>
    <mergeCell ref="A5:O5"/>
    <mergeCell ref="A6:O6"/>
  </mergeCells>
  <pageMargins left="0.7" right="0.7" top="0.75" bottom="0.75" header="0.3" footer="0.3"/>
  <pageSetup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workbookViewId="0">
      <selection activeCell="C8" sqref="C8"/>
    </sheetView>
  </sheetViews>
  <sheetFormatPr defaultRowHeight="12.75" x14ac:dyDescent="0.2"/>
  <cols>
    <col min="1" max="1" width="8.42578125" customWidth="1"/>
    <col min="2" max="2" width="26.28515625" customWidth="1"/>
    <col min="3" max="3" width="9.5703125" customWidth="1"/>
    <col min="4" max="15" width="6.7109375" customWidth="1"/>
    <col min="16" max="16" width="8.7109375" customWidth="1"/>
  </cols>
  <sheetData>
    <row r="1" spans="1:15" ht="126" customHeight="1" x14ac:dyDescent="0.2">
      <c r="A1" s="36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</row>
    <row r="2" spans="1:15" ht="45" customHeight="1" x14ac:dyDescent="0.5">
      <c r="A2" s="54" t="s">
        <v>17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</row>
    <row r="3" spans="1:15" ht="33" customHeight="1" x14ac:dyDescent="0.4">
      <c r="A3" s="55" t="s">
        <v>101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</row>
    <row r="4" spans="1:15" ht="9.75" customHeight="1" x14ac:dyDescent="0.4">
      <c r="A4" s="55"/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</row>
    <row r="5" spans="1:15" ht="30" customHeight="1" x14ac:dyDescent="0.4">
      <c r="A5" s="57" t="s">
        <v>9</v>
      </c>
      <c r="B5" s="58"/>
      <c r="C5" s="58"/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</row>
    <row r="6" spans="1:15" ht="16.5" customHeight="1" x14ac:dyDescent="0.2">
      <c r="A6" s="38"/>
      <c r="B6" s="38"/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</row>
    <row r="7" spans="1:15" ht="15" customHeight="1" x14ac:dyDescent="0.25">
      <c r="A7" s="1" t="s">
        <v>1</v>
      </c>
      <c r="B7" s="1" t="s">
        <v>0</v>
      </c>
      <c r="C7" s="1" t="s">
        <v>2</v>
      </c>
      <c r="D7" s="2">
        <v>44661</v>
      </c>
      <c r="E7" s="2">
        <v>44675</v>
      </c>
      <c r="F7" s="2">
        <v>44696</v>
      </c>
      <c r="G7" s="2">
        <v>44703</v>
      </c>
      <c r="H7" s="2">
        <v>44710</v>
      </c>
      <c r="I7" s="2">
        <v>44717</v>
      </c>
      <c r="J7" s="2">
        <v>44724</v>
      </c>
      <c r="K7" s="2">
        <v>44738</v>
      </c>
      <c r="L7" s="2">
        <v>44752</v>
      </c>
      <c r="M7" s="2">
        <v>44759</v>
      </c>
      <c r="N7" s="2">
        <v>44766</v>
      </c>
      <c r="O7" s="2">
        <v>44773</v>
      </c>
    </row>
    <row r="8" spans="1:15" ht="15" customHeight="1" x14ac:dyDescent="0.2">
      <c r="A8" s="6">
        <v>1</v>
      </c>
      <c r="B8" s="6" t="s">
        <v>16</v>
      </c>
      <c r="C8" s="7">
        <f t="shared" ref="C8:C50" si="0">D8+E8+F8+G8+H8+I8+J8+K8+L8+M8+N8+O8</f>
        <v>4675</v>
      </c>
      <c r="D8" s="8">
        <v>425</v>
      </c>
      <c r="E8" s="9">
        <v>375</v>
      </c>
      <c r="F8" s="9">
        <v>200</v>
      </c>
      <c r="G8" s="8">
        <v>0</v>
      </c>
      <c r="H8" s="9">
        <v>425</v>
      </c>
      <c r="I8" s="9">
        <v>325</v>
      </c>
      <c r="J8" s="9">
        <v>575</v>
      </c>
      <c r="K8" s="9">
        <v>575</v>
      </c>
      <c r="L8" s="9">
        <v>575</v>
      </c>
      <c r="M8" s="9">
        <v>325</v>
      </c>
      <c r="N8" s="9">
        <v>300</v>
      </c>
      <c r="O8" s="9">
        <v>575</v>
      </c>
    </row>
    <row r="9" spans="1:15" ht="15" customHeight="1" x14ac:dyDescent="0.2">
      <c r="A9" s="6">
        <v>2</v>
      </c>
      <c r="B9" s="6" t="s">
        <v>65</v>
      </c>
      <c r="C9" s="7">
        <f t="shared" si="0"/>
        <v>4175</v>
      </c>
      <c r="D9" s="8">
        <v>575</v>
      </c>
      <c r="E9" s="9">
        <v>425</v>
      </c>
      <c r="F9" s="9">
        <v>375</v>
      </c>
      <c r="G9" s="9">
        <v>575</v>
      </c>
      <c r="H9" s="9">
        <v>175</v>
      </c>
      <c r="I9" s="8">
        <v>475</v>
      </c>
      <c r="J9" s="8">
        <v>0</v>
      </c>
      <c r="K9" s="8">
        <v>350</v>
      </c>
      <c r="L9" s="8">
        <v>375</v>
      </c>
      <c r="M9" s="8">
        <v>225</v>
      </c>
      <c r="N9" s="8">
        <v>375</v>
      </c>
      <c r="O9" s="9">
        <v>250</v>
      </c>
    </row>
    <row r="10" spans="1:15" ht="15" customHeight="1" x14ac:dyDescent="0.2">
      <c r="A10" s="6">
        <v>3</v>
      </c>
      <c r="B10" s="6" t="s">
        <v>19</v>
      </c>
      <c r="C10" s="7">
        <f t="shared" si="0"/>
        <v>4125</v>
      </c>
      <c r="D10" s="8">
        <v>275</v>
      </c>
      <c r="E10" s="9">
        <v>275</v>
      </c>
      <c r="F10" s="9">
        <v>225</v>
      </c>
      <c r="G10" s="9">
        <v>475</v>
      </c>
      <c r="H10" s="9">
        <v>575</v>
      </c>
      <c r="I10" s="8">
        <v>275</v>
      </c>
      <c r="J10" s="9">
        <v>300</v>
      </c>
      <c r="K10" s="8">
        <v>425</v>
      </c>
      <c r="L10" s="8">
        <v>225</v>
      </c>
      <c r="M10" s="8">
        <v>575</v>
      </c>
      <c r="N10" s="9">
        <v>175</v>
      </c>
      <c r="O10" s="8">
        <v>325</v>
      </c>
    </row>
    <row r="11" spans="1:15" ht="15" customHeight="1" x14ac:dyDescent="0.2">
      <c r="A11" s="6">
        <v>4</v>
      </c>
      <c r="B11" s="6" t="s">
        <v>22</v>
      </c>
      <c r="C11" s="7">
        <f t="shared" si="0"/>
        <v>3490</v>
      </c>
      <c r="D11" s="8">
        <v>350</v>
      </c>
      <c r="E11" s="9">
        <v>300</v>
      </c>
      <c r="F11" s="9">
        <v>425</v>
      </c>
      <c r="G11" s="9">
        <v>250</v>
      </c>
      <c r="H11" s="9">
        <v>115</v>
      </c>
      <c r="I11" s="9">
        <v>300</v>
      </c>
      <c r="J11" s="9">
        <v>275</v>
      </c>
      <c r="K11" s="9">
        <v>375</v>
      </c>
      <c r="L11" s="9">
        <v>275</v>
      </c>
      <c r="M11" s="9">
        <v>175</v>
      </c>
      <c r="N11" s="9">
        <v>475</v>
      </c>
      <c r="O11" s="8">
        <v>175</v>
      </c>
    </row>
    <row r="12" spans="1:15" ht="15" customHeight="1" x14ac:dyDescent="0.2">
      <c r="A12" s="6">
        <v>5</v>
      </c>
      <c r="B12" s="6" t="s">
        <v>24</v>
      </c>
      <c r="C12" s="7">
        <f t="shared" si="0"/>
        <v>3225</v>
      </c>
      <c r="D12" s="8">
        <v>225</v>
      </c>
      <c r="E12" s="8">
        <v>0</v>
      </c>
      <c r="F12" s="9">
        <v>475</v>
      </c>
      <c r="G12" s="8">
        <v>0</v>
      </c>
      <c r="H12" s="9">
        <v>200</v>
      </c>
      <c r="I12" s="9">
        <v>250</v>
      </c>
      <c r="J12" s="9">
        <v>350</v>
      </c>
      <c r="K12" s="8">
        <v>475</v>
      </c>
      <c r="L12" s="8">
        <v>175</v>
      </c>
      <c r="M12" s="8">
        <v>300</v>
      </c>
      <c r="N12" s="9">
        <v>425</v>
      </c>
      <c r="O12" s="9">
        <v>350</v>
      </c>
    </row>
    <row r="13" spans="1:15" ht="15" customHeight="1" x14ac:dyDescent="0.2">
      <c r="A13" s="6">
        <v>6</v>
      </c>
      <c r="B13" s="6" t="s">
        <v>38</v>
      </c>
      <c r="C13" s="7">
        <f t="shared" si="0"/>
        <v>2825</v>
      </c>
      <c r="D13" s="8">
        <v>0</v>
      </c>
      <c r="E13" s="9">
        <v>350</v>
      </c>
      <c r="F13" s="8">
        <v>0</v>
      </c>
      <c r="G13" s="9">
        <v>300</v>
      </c>
      <c r="H13" s="9">
        <v>350</v>
      </c>
      <c r="I13" s="9">
        <v>350</v>
      </c>
      <c r="J13" s="9">
        <v>375</v>
      </c>
      <c r="K13" s="8">
        <v>0</v>
      </c>
      <c r="L13" s="8">
        <v>0</v>
      </c>
      <c r="M13" s="9">
        <v>375</v>
      </c>
      <c r="N13" s="9">
        <v>350</v>
      </c>
      <c r="O13" s="9">
        <v>375</v>
      </c>
    </row>
    <row r="14" spans="1:15" ht="15" customHeight="1" x14ac:dyDescent="0.2">
      <c r="A14" s="6">
        <v>7</v>
      </c>
      <c r="B14" s="6" t="s">
        <v>30</v>
      </c>
      <c r="C14" s="7">
        <f t="shared" si="0"/>
        <v>2785</v>
      </c>
      <c r="D14" s="8">
        <v>475</v>
      </c>
      <c r="E14" s="8">
        <v>0</v>
      </c>
      <c r="F14" s="9">
        <v>250</v>
      </c>
      <c r="G14" s="8">
        <v>0</v>
      </c>
      <c r="H14" s="9">
        <v>160</v>
      </c>
      <c r="I14" s="8">
        <v>575</v>
      </c>
      <c r="J14" s="8">
        <v>0</v>
      </c>
      <c r="K14" s="8">
        <v>225</v>
      </c>
      <c r="L14" s="8">
        <v>425</v>
      </c>
      <c r="M14" s="8">
        <v>250</v>
      </c>
      <c r="N14" s="8">
        <v>0</v>
      </c>
      <c r="O14" s="8">
        <v>425</v>
      </c>
    </row>
    <row r="15" spans="1:15" ht="15" customHeight="1" x14ac:dyDescent="0.2">
      <c r="A15" s="6">
        <v>8</v>
      </c>
      <c r="B15" s="6" t="s">
        <v>60</v>
      </c>
      <c r="C15" s="7">
        <f t="shared" si="0"/>
        <v>2480</v>
      </c>
      <c r="D15" s="8">
        <v>300</v>
      </c>
      <c r="E15" s="8">
        <v>0</v>
      </c>
      <c r="F15" s="9">
        <v>145</v>
      </c>
      <c r="G15" s="9">
        <v>325</v>
      </c>
      <c r="H15" s="8">
        <v>0</v>
      </c>
      <c r="I15" s="8">
        <v>175</v>
      </c>
      <c r="J15" s="9">
        <v>325</v>
      </c>
      <c r="K15" s="9">
        <v>275</v>
      </c>
      <c r="L15" s="8">
        <v>0</v>
      </c>
      <c r="M15" s="9">
        <v>160</v>
      </c>
      <c r="N15" s="9">
        <v>575</v>
      </c>
      <c r="O15" s="9">
        <v>200</v>
      </c>
    </row>
    <row r="16" spans="1:15" ht="15" customHeight="1" x14ac:dyDescent="0.2">
      <c r="A16" s="6">
        <v>9</v>
      </c>
      <c r="B16" s="6" t="s">
        <v>54</v>
      </c>
      <c r="C16" s="7">
        <f t="shared" si="0"/>
        <v>1950</v>
      </c>
      <c r="D16" s="8">
        <v>175</v>
      </c>
      <c r="E16" s="8">
        <v>0</v>
      </c>
      <c r="F16" s="8">
        <v>0</v>
      </c>
      <c r="G16" s="8">
        <v>0</v>
      </c>
      <c r="H16" s="9">
        <v>475</v>
      </c>
      <c r="I16" s="8">
        <v>0</v>
      </c>
      <c r="J16" s="9">
        <v>425</v>
      </c>
      <c r="K16" s="8">
        <v>0</v>
      </c>
      <c r="L16" s="9">
        <v>145</v>
      </c>
      <c r="M16" s="9">
        <v>350</v>
      </c>
      <c r="N16" s="8">
        <v>250</v>
      </c>
      <c r="O16" s="9">
        <v>130</v>
      </c>
    </row>
    <row r="17" spans="1:15" ht="15" customHeight="1" x14ac:dyDescent="0.2">
      <c r="A17" s="6">
        <v>10</v>
      </c>
      <c r="B17" s="6" t="s">
        <v>95</v>
      </c>
      <c r="C17" s="7">
        <f t="shared" si="0"/>
        <v>1850</v>
      </c>
      <c r="D17" s="8">
        <v>0</v>
      </c>
      <c r="E17" s="8">
        <v>0</v>
      </c>
      <c r="F17" s="8">
        <v>0</v>
      </c>
      <c r="G17" s="9">
        <v>0</v>
      </c>
      <c r="H17" s="9">
        <v>300</v>
      </c>
      <c r="I17" s="9">
        <v>375</v>
      </c>
      <c r="J17" s="9">
        <v>475</v>
      </c>
      <c r="K17" s="8">
        <v>0</v>
      </c>
      <c r="L17" s="8">
        <v>0</v>
      </c>
      <c r="M17" s="8">
        <v>0</v>
      </c>
      <c r="N17" s="9">
        <v>225</v>
      </c>
      <c r="O17" s="9">
        <v>475</v>
      </c>
    </row>
    <row r="18" spans="1:15" ht="15" customHeight="1" x14ac:dyDescent="0.2">
      <c r="A18" s="6">
        <v>11</v>
      </c>
      <c r="B18" s="6" t="s">
        <v>13</v>
      </c>
      <c r="C18" s="8">
        <f t="shared" si="0"/>
        <v>1795</v>
      </c>
      <c r="D18" s="8">
        <v>200</v>
      </c>
      <c r="E18" s="8">
        <v>0</v>
      </c>
      <c r="F18" s="9">
        <v>300</v>
      </c>
      <c r="G18" s="9">
        <v>275</v>
      </c>
      <c r="H18" s="8">
        <v>0</v>
      </c>
      <c r="I18" s="9">
        <v>200</v>
      </c>
      <c r="J18" s="8">
        <v>0</v>
      </c>
      <c r="K18" s="8">
        <v>0</v>
      </c>
      <c r="L18" s="8">
        <v>0</v>
      </c>
      <c r="M18" s="9">
        <v>475</v>
      </c>
      <c r="N18" s="9">
        <v>200</v>
      </c>
      <c r="O18" s="9">
        <v>145</v>
      </c>
    </row>
    <row r="19" spans="1:15" ht="15" customHeight="1" x14ac:dyDescent="0.2">
      <c r="A19" s="6">
        <v>12</v>
      </c>
      <c r="B19" s="6" t="s">
        <v>7</v>
      </c>
      <c r="C19" s="8">
        <f t="shared" si="0"/>
        <v>1625</v>
      </c>
      <c r="D19" s="8">
        <v>0</v>
      </c>
      <c r="E19" s="8">
        <v>0</v>
      </c>
      <c r="F19" s="9">
        <v>325</v>
      </c>
      <c r="G19" s="8">
        <v>0</v>
      </c>
      <c r="H19" s="9">
        <v>250</v>
      </c>
      <c r="I19" s="8">
        <v>0</v>
      </c>
      <c r="J19" s="8">
        <v>0</v>
      </c>
      <c r="K19" s="8">
        <v>0</v>
      </c>
      <c r="L19" s="8">
        <v>325</v>
      </c>
      <c r="M19" s="8">
        <v>425</v>
      </c>
      <c r="N19" s="8">
        <v>0</v>
      </c>
      <c r="O19" s="8">
        <v>300</v>
      </c>
    </row>
    <row r="20" spans="1:15" ht="15" customHeight="1" x14ac:dyDescent="0.2">
      <c r="A20" s="6">
        <v>13</v>
      </c>
      <c r="B20" s="6" t="s">
        <v>11</v>
      </c>
      <c r="C20" s="8">
        <f t="shared" si="0"/>
        <v>1555</v>
      </c>
      <c r="D20" s="8">
        <v>250</v>
      </c>
      <c r="E20" s="8">
        <v>250</v>
      </c>
      <c r="F20" s="8">
        <v>0</v>
      </c>
      <c r="G20" s="9">
        <v>425</v>
      </c>
      <c r="H20" s="8">
        <v>0</v>
      </c>
      <c r="I20" s="8">
        <v>130</v>
      </c>
      <c r="J20" s="8">
        <v>0</v>
      </c>
      <c r="K20" s="9">
        <v>300</v>
      </c>
      <c r="L20" s="8">
        <v>0</v>
      </c>
      <c r="M20" s="9">
        <v>200</v>
      </c>
      <c r="N20" s="8">
        <v>0</v>
      </c>
      <c r="O20" s="8">
        <v>0</v>
      </c>
    </row>
    <row r="21" spans="1:15" ht="15" customHeight="1" x14ac:dyDescent="0.2">
      <c r="A21" s="6">
        <v>14</v>
      </c>
      <c r="B21" s="6" t="s">
        <v>61</v>
      </c>
      <c r="C21" s="8">
        <f t="shared" si="0"/>
        <v>1530</v>
      </c>
      <c r="D21" s="8">
        <v>0</v>
      </c>
      <c r="E21" s="8">
        <v>0</v>
      </c>
      <c r="F21" s="9">
        <v>160</v>
      </c>
      <c r="G21" s="8">
        <v>0</v>
      </c>
      <c r="H21" s="8">
        <v>0</v>
      </c>
      <c r="I21" s="8">
        <v>145</v>
      </c>
      <c r="J21" s="8">
        <v>0</v>
      </c>
      <c r="K21" s="9">
        <v>250</v>
      </c>
      <c r="L21" s="9">
        <v>475</v>
      </c>
      <c r="M21" s="8">
        <v>0</v>
      </c>
      <c r="N21" s="9">
        <v>275</v>
      </c>
      <c r="O21" s="9">
        <v>225</v>
      </c>
    </row>
    <row r="22" spans="1:15" ht="15" customHeight="1" x14ac:dyDescent="0.2">
      <c r="A22" s="6">
        <v>15</v>
      </c>
      <c r="B22" s="6" t="s">
        <v>14</v>
      </c>
      <c r="C22" s="8">
        <f t="shared" si="0"/>
        <v>1325</v>
      </c>
      <c r="D22" s="8">
        <v>0</v>
      </c>
      <c r="E22" s="9">
        <v>575</v>
      </c>
      <c r="F22" s="9">
        <v>275</v>
      </c>
      <c r="G22" s="8">
        <v>0</v>
      </c>
      <c r="H22" s="9">
        <v>225</v>
      </c>
      <c r="I22" s="8">
        <v>0</v>
      </c>
      <c r="J22" s="8">
        <v>0</v>
      </c>
      <c r="K22" s="8">
        <v>0</v>
      </c>
      <c r="L22" s="8">
        <v>250</v>
      </c>
      <c r="M22" s="8">
        <v>0</v>
      </c>
      <c r="N22" s="8">
        <v>0</v>
      </c>
      <c r="O22" s="8">
        <v>0</v>
      </c>
    </row>
    <row r="23" spans="1:15" ht="15" customHeight="1" x14ac:dyDescent="0.2">
      <c r="A23" s="6">
        <v>16</v>
      </c>
      <c r="B23" s="6" t="s">
        <v>10</v>
      </c>
      <c r="C23" s="8">
        <f t="shared" si="0"/>
        <v>1000</v>
      </c>
      <c r="D23" s="8">
        <v>0</v>
      </c>
      <c r="E23" s="8">
        <v>0</v>
      </c>
      <c r="F23" s="9">
        <v>575</v>
      </c>
      <c r="G23" s="8">
        <v>0</v>
      </c>
      <c r="H23" s="8">
        <v>0</v>
      </c>
      <c r="I23" s="9">
        <v>425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</row>
    <row r="24" spans="1:15" ht="15" customHeight="1" x14ac:dyDescent="0.2">
      <c r="A24" s="6">
        <v>17</v>
      </c>
      <c r="B24" s="6" t="s">
        <v>87</v>
      </c>
      <c r="C24" s="8">
        <f t="shared" si="0"/>
        <v>735</v>
      </c>
      <c r="D24" s="8">
        <v>0</v>
      </c>
      <c r="E24" s="8">
        <v>0</v>
      </c>
      <c r="F24" s="8">
        <v>0</v>
      </c>
      <c r="G24" s="9">
        <v>375</v>
      </c>
      <c r="H24" s="8">
        <v>0</v>
      </c>
      <c r="I24" s="8">
        <v>0</v>
      </c>
      <c r="J24" s="8">
        <v>0</v>
      </c>
      <c r="K24" s="9">
        <v>200</v>
      </c>
      <c r="L24" s="8">
        <v>0</v>
      </c>
      <c r="M24" s="8">
        <v>0</v>
      </c>
      <c r="N24" s="9">
        <v>160</v>
      </c>
      <c r="O24" s="8">
        <v>0</v>
      </c>
    </row>
    <row r="25" spans="1:15" ht="15" customHeight="1" x14ac:dyDescent="0.2">
      <c r="A25" s="6">
        <v>18</v>
      </c>
      <c r="B25" s="6" t="s">
        <v>103</v>
      </c>
      <c r="C25" s="8">
        <f t="shared" si="0"/>
        <v>715</v>
      </c>
      <c r="D25" s="8">
        <v>0</v>
      </c>
      <c r="E25" s="8">
        <v>0</v>
      </c>
      <c r="F25" s="8">
        <v>0</v>
      </c>
      <c r="G25" s="9">
        <v>0</v>
      </c>
      <c r="H25" s="8">
        <v>0</v>
      </c>
      <c r="I25" s="8">
        <v>0</v>
      </c>
      <c r="J25" s="8">
        <v>0</v>
      </c>
      <c r="K25" s="8">
        <v>0</v>
      </c>
      <c r="L25" s="9">
        <v>160</v>
      </c>
      <c r="M25" s="9">
        <v>115</v>
      </c>
      <c r="N25" s="9">
        <v>325</v>
      </c>
      <c r="O25" s="9">
        <v>115</v>
      </c>
    </row>
    <row r="26" spans="1:15" ht="15" customHeight="1" x14ac:dyDescent="0.2">
      <c r="A26" s="6">
        <v>19</v>
      </c>
      <c r="B26" s="6" t="s">
        <v>62</v>
      </c>
      <c r="C26" s="8">
        <f t="shared" si="0"/>
        <v>650</v>
      </c>
      <c r="D26" s="8">
        <v>325</v>
      </c>
      <c r="E26" s="8">
        <v>0</v>
      </c>
      <c r="F26" s="8">
        <v>0</v>
      </c>
      <c r="G26" s="8">
        <v>0</v>
      </c>
      <c r="H26" s="9">
        <v>325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</row>
    <row r="27" spans="1:15" ht="15" customHeight="1" x14ac:dyDescent="0.2">
      <c r="A27" s="6">
        <v>20</v>
      </c>
      <c r="B27" s="6" t="s">
        <v>15</v>
      </c>
      <c r="C27" s="8">
        <f t="shared" si="0"/>
        <v>625</v>
      </c>
      <c r="D27" s="8">
        <v>0</v>
      </c>
      <c r="E27" s="8">
        <v>0</v>
      </c>
      <c r="F27" s="9">
        <v>350</v>
      </c>
      <c r="G27" s="8">
        <v>0</v>
      </c>
      <c r="H27" s="9">
        <v>275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</row>
    <row r="28" spans="1:15" ht="15" customHeight="1" x14ac:dyDescent="0.2">
      <c r="A28" s="6">
        <v>21</v>
      </c>
      <c r="B28" s="6" t="s">
        <v>102</v>
      </c>
      <c r="C28" s="8">
        <f t="shared" si="0"/>
        <v>590</v>
      </c>
      <c r="D28" s="8">
        <v>0</v>
      </c>
      <c r="E28" s="8">
        <v>0</v>
      </c>
      <c r="F28" s="8">
        <v>0</v>
      </c>
      <c r="G28" s="8">
        <v>0</v>
      </c>
      <c r="H28" s="9">
        <v>0</v>
      </c>
      <c r="I28" s="8">
        <v>0</v>
      </c>
      <c r="J28" s="8">
        <v>0</v>
      </c>
      <c r="K28" s="8">
        <v>0</v>
      </c>
      <c r="L28" s="9">
        <v>300</v>
      </c>
      <c r="M28" s="9">
        <v>130</v>
      </c>
      <c r="N28" s="8">
        <v>0</v>
      </c>
      <c r="O28" s="9">
        <v>160</v>
      </c>
    </row>
    <row r="29" spans="1:15" ht="15" customHeight="1" x14ac:dyDescent="0.2">
      <c r="A29" s="6">
        <v>22</v>
      </c>
      <c r="B29" s="6" t="s">
        <v>89</v>
      </c>
      <c r="C29" s="8">
        <f t="shared" si="0"/>
        <v>575</v>
      </c>
      <c r="D29" s="8">
        <v>0</v>
      </c>
      <c r="E29" s="8">
        <v>0</v>
      </c>
      <c r="F29" s="8">
        <v>0</v>
      </c>
      <c r="G29" s="9">
        <v>225</v>
      </c>
      <c r="H29" s="8">
        <v>0</v>
      </c>
      <c r="I29" s="8">
        <v>0</v>
      </c>
      <c r="J29" s="8">
        <v>0</v>
      </c>
      <c r="K29" s="8">
        <v>0</v>
      </c>
      <c r="L29" s="9">
        <v>350</v>
      </c>
      <c r="M29" s="8">
        <v>0</v>
      </c>
      <c r="N29" s="8">
        <v>0</v>
      </c>
      <c r="O29" s="8">
        <v>0</v>
      </c>
    </row>
    <row r="30" spans="1:15" ht="15" customHeight="1" x14ac:dyDescent="0.2">
      <c r="A30" s="6">
        <v>23</v>
      </c>
      <c r="B30" s="6" t="s">
        <v>77</v>
      </c>
      <c r="C30" s="8">
        <f t="shared" si="0"/>
        <v>475</v>
      </c>
      <c r="D30" s="8">
        <v>0</v>
      </c>
      <c r="E30" s="9">
        <v>475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</row>
    <row r="31" spans="1:15" ht="15" customHeight="1" x14ac:dyDescent="0.2">
      <c r="A31" s="6">
        <v>24</v>
      </c>
      <c r="B31" s="6" t="s">
        <v>106</v>
      </c>
      <c r="C31" s="8">
        <f t="shared" si="0"/>
        <v>420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145</v>
      </c>
      <c r="N31" s="8">
        <v>0</v>
      </c>
      <c r="O31" s="9">
        <v>275</v>
      </c>
    </row>
    <row r="32" spans="1:15" ht="15" customHeight="1" x14ac:dyDescent="0.2">
      <c r="A32" s="6">
        <v>25</v>
      </c>
      <c r="B32" s="6" t="s">
        <v>46</v>
      </c>
      <c r="C32" s="8">
        <f t="shared" si="0"/>
        <v>375</v>
      </c>
      <c r="D32" s="8">
        <v>375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</row>
    <row r="33" spans="1:15" ht="15" customHeight="1" x14ac:dyDescent="0.2">
      <c r="A33" s="6">
        <v>25</v>
      </c>
      <c r="B33" s="6" t="s">
        <v>94</v>
      </c>
      <c r="C33" s="8">
        <f t="shared" si="0"/>
        <v>375</v>
      </c>
      <c r="D33" s="8">
        <v>0</v>
      </c>
      <c r="E33" s="8">
        <v>0</v>
      </c>
      <c r="F33" s="8">
        <v>0</v>
      </c>
      <c r="G33" s="8">
        <v>0</v>
      </c>
      <c r="H33" s="9">
        <v>375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</row>
    <row r="34" spans="1:15" ht="15" customHeight="1" x14ac:dyDescent="0.2">
      <c r="A34" s="6">
        <v>26</v>
      </c>
      <c r="B34" s="6" t="s">
        <v>88</v>
      </c>
      <c r="C34" s="8">
        <f t="shared" si="0"/>
        <v>350</v>
      </c>
      <c r="D34" s="8">
        <v>0</v>
      </c>
      <c r="E34" s="8">
        <v>0</v>
      </c>
      <c r="F34" s="8">
        <v>0</v>
      </c>
      <c r="G34" s="9">
        <v>350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</row>
    <row r="35" spans="1:15" ht="15" customHeight="1" x14ac:dyDescent="0.2">
      <c r="A35" s="6">
        <v>27</v>
      </c>
      <c r="B35" s="6" t="s">
        <v>85</v>
      </c>
      <c r="C35" s="8">
        <f t="shared" si="0"/>
        <v>330</v>
      </c>
      <c r="D35" s="8">
        <v>0</v>
      </c>
      <c r="E35" s="8">
        <v>200</v>
      </c>
      <c r="F35" s="9">
        <v>130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</row>
    <row r="36" spans="1:15" ht="15" customHeight="1" x14ac:dyDescent="0.2">
      <c r="A36" s="6">
        <v>28</v>
      </c>
      <c r="B36" s="6" t="s">
        <v>84</v>
      </c>
      <c r="C36" s="8">
        <f t="shared" si="0"/>
        <v>325</v>
      </c>
      <c r="D36" s="8">
        <v>0</v>
      </c>
      <c r="E36" s="8">
        <v>325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</row>
    <row r="37" spans="1:15" ht="15" customHeight="1" x14ac:dyDescent="0.2">
      <c r="A37" s="6">
        <v>28</v>
      </c>
      <c r="B37" s="6" t="s">
        <v>100</v>
      </c>
      <c r="C37" s="8">
        <f t="shared" si="0"/>
        <v>325</v>
      </c>
      <c r="D37" s="8">
        <v>0</v>
      </c>
      <c r="E37" s="8">
        <v>0</v>
      </c>
      <c r="F37" s="8">
        <v>0</v>
      </c>
      <c r="G37" s="9">
        <v>0</v>
      </c>
      <c r="H37" s="8">
        <v>0</v>
      </c>
      <c r="I37" s="8">
        <v>0</v>
      </c>
      <c r="J37" s="8">
        <v>0</v>
      </c>
      <c r="K37" s="9">
        <v>325</v>
      </c>
      <c r="L37" s="8">
        <v>0</v>
      </c>
      <c r="M37" s="8">
        <v>0</v>
      </c>
      <c r="N37" s="8">
        <v>0</v>
      </c>
      <c r="O37" s="8">
        <v>0</v>
      </c>
    </row>
    <row r="38" spans="1:15" ht="15" customHeight="1" x14ac:dyDescent="0.2">
      <c r="A38" s="6">
        <v>30</v>
      </c>
      <c r="B38" s="6" t="s">
        <v>98</v>
      </c>
      <c r="C38" s="8">
        <f t="shared" si="0"/>
        <v>225</v>
      </c>
      <c r="D38" s="8">
        <v>0</v>
      </c>
      <c r="E38" s="8">
        <v>0</v>
      </c>
      <c r="F38" s="8">
        <v>0</v>
      </c>
      <c r="G38" s="8">
        <v>0</v>
      </c>
      <c r="H38" s="9">
        <v>0</v>
      </c>
      <c r="I38" s="8">
        <v>225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</row>
    <row r="39" spans="1:15" ht="15" customHeight="1" x14ac:dyDescent="0.2">
      <c r="A39" s="6">
        <v>30</v>
      </c>
      <c r="B39" s="6" t="s">
        <v>86</v>
      </c>
      <c r="C39" s="8">
        <f t="shared" si="0"/>
        <v>225</v>
      </c>
      <c r="D39" s="8">
        <v>0</v>
      </c>
      <c r="E39" s="9">
        <v>225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</row>
    <row r="40" spans="1:15" ht="15" customHeight="1" x14ac:dyDescent="0.2">
      <c r="A40" s="6">
        <v>31</v>
      </c>
      <c r="B40" s="6" t="s">
        <v>90</v>
      </c>
      <c r="C40" s="8">
        <f t="shared" si="0"/>
        <v>200</v>
      </c>
      <c r="D40" s="8">
        <v>0</v>
      </c>
      <c r="E40" s="8">
        <v>0</v>
      </c>
      <c r="F40" s="8">
        <v>0</v>
      </c>
      <c r="G40" s="9">
        <v>200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</row>
    <row r="41" spans="1:15" ht="15" customHeight="1" x14ac:dyDescent="0.2">
      <c r="A41" s="6">
        <v>32</v>
      </c>
      <c r="B41" s="6" t="s">
        <v>21</v>
      </c>
      <c r="C41" s="8">
        <f t="shared" si="0"/>
        <v>175</v>
      </c>
      <c r="D41" s="8">
        <v>0</v>
      </c>
      <c r="E41" s="8">
        <v>0</v>
      </c>
      <c r="F41" s="9">
        <v>175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</row>
    <row r="42" spans="1:15" ht="15" customHeight="1" x14ac:dyDescent="0.2">
      <c r="A42" s="6">
        <v>32</v>
      </c>
      <c r="B42" s="6" t="s">
        <v>91</v>
      </c>
      <c r="C42" s="8">
        <f t="shared" si="0"/>
        <v>175</v>
      </c>
      <c r="D42" s="8">
        <v>0</v>
      </c>
      <c r="E42" s="8">
        <v>0</v>
      </c>
      <c r="F42" s="8">
        <v>0</v>
      </c>
      <c r="G42" s="9">
        <v>175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</row>
    <row r="43" spans="1:15" ht="15" customHeight="1" x14ac:dyDescent="0.2">
      <c r="A43" s="10">
        <v>33</v>
      </c>
      <c r="B43" s="10" t="s">
        <v>99</v>
      </c>
      <c r="C43" s="11">
        <f t="shared" si="0"/>
        <v>160</v>
      </c>
      <c r="D43" s="11">
        <v>0</v>
      </c>
      <c r="E43" s="11">
        <v>0</v>
      </c>
      <c r="F43" s="11">
        <v>0</v>
      </c>
      <c r="G43" s="12">
        <v>0</v>
      </c>
      <c r="H43" s="11">
        <v>0</v>
      </c>
      <c r="I43" s="11">
        <v>160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</row>
    <row r="44" spans="1:15" ht="15" customHeight="1" x14ac:dyDescent="0.2">
      <c r="A44" s="10">
        <v>33</v>
      </c>
      <c r="B44" s="10" t="s">
        <v>83</v>
      </c>
      <c r="C44" s="11">
        <f t="shared" si="0"/>
        <v>160</v>
      </c>
      <c r="D44" s="11">
        <v>160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</row>
    <row r="45" spans="1:15" ht="15" customHeight="1" x14ac:dyDescent="0.2">
      <c r="A45" s="10">
        <v>33</v>
      </c>
      <c r="B45" s="10" t="s">
        <v>92</v>
      </c>
      <c r="C45" s="11">
        <f t="shared" si="0"/>
        <v>160</v>
      </c>
      <c r="D45" s="11">
        <v>0</v>
      </c>
      <c r="E45" s="11">
        <v>0</v>
      </c>
      <c r="F45" s="11">
        <v>0</v>
      </c>
      <c r="G45" s="12">
        <v>160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</row>
    <row r="46" spans="1:15" ht="15" customHeight="1" x14ac:dyDescent="0.2">
      <c r="A46" s="10">
        <v>34</v>
      </c>
      <c r="B46" s="10" t="s">
        <v>93</v>
      </c>
      <c r="C46" s="11">
        <f t="shared" si="0"/>
        <v>145</v>
      </c>
      <c r="D46" s="11">
        <v>0</v>
      </c>
      <c r="E46" s="11">
        <v>0</v>
      </c>
      <c r="F46" s="11">
        <v>0</v>
      </c>
      <c r="G46" s="12">
        <v>145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</row>
    <row r="47" spans="1:15" ht="15" customHeight="1" x14ac:dyDescent="0.2">
      <c r="A47" s="10">
        <v>34</v>
      </c>
      <c r="B47" s="10" t="s">
        <v>97</v>
      </c>
      <c r="C47" s="11">
        <f t="shared" si="0"/>
        <v>145</v>
      </c>
      <c r="D47" s="11">
        <v>0</v>
      </c>
      <c r="E47" s="11">
        <v>0</v>
      </c>
      <c r="F47" s="11">
        <v>0</v>
      </c>
      <c r="G47" s="11">
        <v>0</v>
      </c>
      <c r="H47" s="12">
        <v>145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</row>
    <row r="48" spans="1:15" ht="15" customHeight="1" x14ac:dyDescent="0.2">
      <c r="A48" s="10">
        <v>35</v>
      </c>
      <c r="B48" s="10" t="s">
        <v>104</v>
      </c>
      <c r="C48" s="11">
        <f t="shared" si="0"/>
        <v>130</v>
      </c>
      <c r="D48" s="11">
        <v>0</v>
      </c>
      <c r="E48" s="12">
        <v>0</v>
      </c>
      <c r="F48" s="11">
        <v>0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2">
        <v>130</v>
      </c>
      <c r="M48" s="11">
        <v>0</v>
      </c>
      <c r="N48" s="11">
        <v>0</v>
      </c>
      <c r="O48" s="11">
        <v>0</v>
      </c>
    </row>
    <row r="49" spans="1:15" ht="15" customHeight="1" x14ac:dyDescent="0.2">
      <c r="A49" s="10">
        <v>35</v>
      </c>
      <c r="B49" s="10" t="s">
        <v>96</v>
      </c>
      <c r="C49" s="11">
        <f t="shared" si="0"/>
        <v>130</v>
      </c>
      <c r="D49" s="11">
        <v>0</v>
      </c>
      <c r="E49" s="11">
        <v>0</v>
      </c>
      <c r="F49" s="11">
        <v>0</v>
      </c>
      <c r="G49" s="11">
        <v>0</v>
      </c>
      <c r="H49" s="12">
        <v>130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</row>
    <row r="50" spans="1:15" ht="15" customHeight="1" x14ac:dyDescent="0.2">
      <c r="A50" s="10">
        <v>36</v>
      </c>
      <c r="B50" s="10" t="s">
        <v>105</v>
      </c>
      <c r="C50" s="11">
        <f t="shared" si="0"/>
        <v>115</v>
      </c>
      <c r="D50" s="11">
        <v>0</v>
      </c>
      <c r="E50" s="12">
        <v>0</v>
      </c>
      <c r="F50" s="11">
        <v>0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2">
        <v>115</v>
      </c>
      <c r="M50" s="11">
        <v>0</v>
      </c>
      <c r="N50" s="11">
        <v>0</v>
      </c>
      <c r="O50" s="11">
        <v>0</v>
      </c>
    </row>
    <row r="52" spans="1:15" ht="18.75" customHeight="1" x14ac:dyDescent="0.25">
      <c r="A52" s="48" t="s">
        <v>3</v>
      </c>
      <c r="B52" s="49"/>
      <c r="C52" s="49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</row>
    <row r="53" spans="1:15" ht="18.75" customHeight="1" x14ac:dyDescent="0.25">
      <c r="A53" s="50" t="s">
        <v>4</v>
      </c>
      <c r="B53" s="51"/>
      <c r="C53" s="51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</row>
    <row r="54" spans="1:15" ht="18.75" customHeight="1" x14ac:dyDescent="0.25">
      <c r="A54" s="52" t="s">
        <v>5</v>
      </c>
      <c r="B54" s="53"/>
      <c r="C54" s="53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</row>
  </sheetData>
  <mergeCells count="9">
    <mergeCell ref="A52:C52"/>
    <mergeCell ref="A53:C53"/>
    <mergeCell ref="A54:C54"/>
    <mergeCell ref="A1:O1"/>
    <mergeCell ref="A2:O2"/>
    <mergeCell ref="A3:O3"/>
    <mergeCell ref="A4:O4"/>
    <mergeCell ref="A5:O5"/>
    <mergeCell ref="A6:O6"/>
  </mergeCells>
  <pageMargins left="0.7" right="0.7" top="0.75" bottom="0.75" header="0.3" footer="0.3"/>
  <pageSetup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5"/>
  <sheetViews>
    <sheetView workbookViewId="0">
      <selection activeCell="C8" sqref="C8"/>
    </sheetView>
  </sheetViews>
  <sheetFormatPr defaultRowHeight="12.75" x14ac:dyDescent="0.2"/>
  <cols>
    <col min="1" max="1" width="8.140625" customWidth="1"/>
    <col min="2" max="2" width="23.7109375" customWidth="1"/>
    <col min="3" max="3" width="9.28515625" customWidth="1"/>
    <col min="4" max="16" width="6.42578125" customWidth="1"/>
    <col min="17" max="17" width="8.7109375" customWidth="1"/>
  </cols>
  <sheetData>
    <row r="1" spans="1:16" ht="126" customHeight="1" x14ac:dyDescent="0.2">
      <c r="A1" s="36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</row>
    <row r="2" spans="1:16" ht="45" customHeight="1" x14ac:dyDescent="0.5">
      <c r="A2" s="54" t="s">
        <v>17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6" ht="33" customHeight="1" x14ac:dyDescent="0.4">
      <c r="A3" s="55" t="s">
        <v>82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</row>
    <row r="4" spans="1:16" ht="9.75" customHeight="1" x14ac:dyDescent="0.4">
      <c r="A4" s="55"/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56"/>
    </row>
    <row r="5" spans="1:16" ht="30" customHeight="1" x14ac:dyDescent="0.4">
      <c r="A5" s="57" t="s">
        <v>9</v>
      </c>
      <c r="B5" s="58"/>
      <c r="C5" s="58"/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  <c r="P5" s="58"/>
    </row>
    <row r="6" spans="1:16" ht="16.5" customHeight="1" x14ac:dyDescent="0.2">
      <c r="A6" s="38"/>
      <c r="B6" s="38"/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  <c r="P6" s="38"/>
    </row>
    <row r="7" spans="1:16" ht="15" customHeight="1" x14ac:dyDescent="0.25">
      <c r="A7" s="1" t="s">
        <v>1</v>
      </c>
      <c r="B7" s="1" t="s">
        <v>0</v>
      </c>
      <c r="C7" s="1" t="s">
        <v>2</v>
      </c>
      <c r="D7" s="2">
        <v>44472</v>
      </c>
      <c r="E7" s="2">
        <v>44479</v>
      </c>
      <c r="F7" s="2">
        <v>44486</v>
      </c>
      <c r="G7" s="2">
        <v>44493</v>
      </c>
      <c r="H7" s="2">
        <v>44500</v>
      </c>
      <c r="I7" s="2">
        <v>44507</v>
      </c>
      <c r="J7" s="2">
        <v>44514</v>
      </c>
      <c r="K7" s="2">
        <v>44521</v>
      </c>
      <c r="L7" s="2">
        <v>44528</v>
      </c>
      <c r="M7" s="2">
        <v>44535</v>
      </c>
      <c r="N7" s="2">
        <v>44542</v>
      </c>
      <c r="O7" s="2">
        <v>44563</v>
      </c>
      <c r="P7" s="2">
        <v>44654</v>
      </c>
    </row>
    <row r="8" spans="1:16" ht="15" customHeight="1" x14ac:dyDescent="0.2">
      <c r="A8" s="6">
        <v>1</v>
      </c>
      <c r="B8" s="6" t="s">
        <v>16</v>
      </c>
      <c r="C8" s="7">
        <f t="shared" ref="C8:C41" si="0">D8+E8+F8+G8+H8+I8+J8+K8+L8+M8+N8+O8+P8</f>
        <v>5725</v>
      </c>
      <c r="D8" s="8">
        <v>250</v>
      </c>
      <c r="E8" s="9">
        <v>575</v>
      </c>
      <c r="F8" s="9">
        <v>425</v>
      </c>
      <c r="G8" s="9">
        <v>575</v>
      </c>
      <c r="H8" s="9">
        <v>225</v>
      </c>
      <c r="I8" s="9">
        <v>375</v>
      </c>
      <c r="J8" s="9">
        <v>575</v>
      </c>
      <c r="K8" s="8">
        <v>350</v>
      </c>
      <c r="L8" s="9">
        <v>575</v>
      </c>
      <c r="M8" s="8">
        <v>475</v>
      </c>
      <c r="N8" s="8">
        <v>425</v>
      </c>
      <c r="O8" s="9">
        <v>425</v>
      </c>
      <c r="P8" s="9">
        <v>475</v>
      </c>
    </row>
    <row r="9" spans="1:16" ht="15" customHeight="1" x14ac:dyDescent="0.2">
      <c r="A9" s="6">
        <v>2</v>
      </c>
      <c r="B9" s="6" t="s">
        <v>65</v>
      </c>
      <c r="C9" s="7">
        <f t="shared" si="0"/>
        <v>3950</v>
      </c>
      <c r="D9" s="8">
        <v>425</v>
      </c>
      <c r="E9" s="8">
        <v>0</v>
      </c>
      <c r="F9" s="8">
        <v>325</v>
      </c>
      <c r="G9" s="9">
        <v>0</v>
      </c>
      <c r="H9" s="9">
        <v>275</v>
      </c>
      <c r="I9" s="9">
        <v>575</v>
      </c>
      <c r="J9" s="9">
        <v>0</v>
      </c>
      <c r="K9" s="8">
        <v>375</v>
      </c>
      <c r="L9" s="9">
        <v>425</v>
      </c>
      <c r="M9" s="8">
        <v>375</v>
      </c>
      <c r="N9" s="8">
        <v>475</v>
      </c>
      <c r="O9" s="8">
        <v>325</v>
      </c>
      <c r="P9" s="9">
        <v>375</v>
      </c>
    </row>
    <row r="10" spans="1:16" ht="15" customHeight="1" x14ac:dyDescent="0.2">
      <c r="A10" s="6">
        <v>3</v>
      </c>
      <c r="B10" s="6" t="s">
        <v>11</v>
      </c>
      <c r="C10" s="7">
        <f t="shared" si="0"/>
        <v>3925</v>
      </c>
      <c r="D10" s="8">
        <v>300</v>
      </c>
      <c r="E10" s="9">
        <v>275</v>
      </c>
      <c r="F10" s="8">
        <v>575</v>
      </c>
      <c r="G10" s="9">
        <v>0</v>
      </c>
      <c r="H10" s="9">
        <v>575</v>
      </c>
      <c r="I10" s="9">
        <v>425</v>
      </c>
      <c r="J10" s="9">
        <v>475</v>
      </c>
      <c r="K10" s="9">
        <v>275</v>
      </c>
      <c r="L10" s="9">
        <v>475</v>
      </c>
      <c r="M10" s="9">
        <v>225</v>
      </c>
      <c r="N10" s="9">
        <v>0</v>
      </c>
      <c r="O10" s="9">
        <v>0</v>
      </c>
      <c r="P10" s="9">
        <v>325</v>
      </c>
    </row>
    <row r="11" spans="1:16" ht="15" customHeight="1" x14ac:dyDescent="0.2">
      <c r="A11" s="6">
        <v>4</v>
      </c>
      <c r="B11" s="6" t="s">
        <v>19</v>
      </c>
      <c r="C11" s="7">
        <f t="shared" si="0"/>
        <v>3835</v>
      </c>
      <c r="D11" s="8">
        <v>475</v>
      </c>
      <c r="E11" s="9">
        <v>300</v>
      </c>
      <c r="F11" s="8">
        <v>250</v>
      </c>
      <c r="G11" s="8">
        <v>425</v>
      </c>
      <c r="H11" s="9">
        <v>300</v>
      </c>
      <c r="I11" s="9">
        <v>325</v>
      </c>
      <c r="J11" s="9">
        <v>0</v>
      </c>
      <c r="K11" s="9">
        <v>0</v>
      </c>
      <c r="L11" s="8">
        <v>300</v>
      </c>
      <c r="M11" s="8">
        <v>575</v>
      </c>
      <c r="N11" s="8">
        <v>375</v>
      </c>
      <c r="O11" s="8">
        <v>350</v>
      </c>
      <c r="P11" s="9">
        <v>160</v>
      </c>
    </row>
    <row r="12" spans="1:16" ht="15" customHeight="1" x14ac:dyDescent="0.2">
      <c r="A12" s="6">
        <v>5</v>
      </c>
      <c r="B12" s="6" t="s">
        <v>13</v>
      </c>
      <c r="C12" s="7">
        <f t="shared" si="0"/>
        <v>2685</v>
      </c>
      <c r="D12" s="8">
        <v>160</v>
      </c>
      <c r="E12" s="9">
        <v>375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K12" s="9">
        <v>425</v>
      </c>
      <c r="L12" s="9">
        <v>375</v>
      </c>
      <c r="M12" s="9">
        <v>425</v>
      </c>
      <c r="N12" s="9">
        <v>350</v>
      </c>
      <c r="O12" s="8">
        <v>575</v>
      </c>
      <c r="P12" s="9">
        <v>0</v>
      </c>
    </row>
    <row r="13" spans="1:16" ht="15" customHeight="1" x14ac:dyDescent="0.2">
      <c r="A13" s="6">
        <v>6</v>
      </c>
      <c r="B13" s="6" t="s">
        <v>7</v>
      </c>
      <c r="C13" s="7">
        <f t="shared" si="0"/>
        <v>2625</v>
      </c>
      <c r="D13" s="8">
        <v>0</v>
      </c>
      <c r="E13" s="9">
        <v>325</v>
      </c>
      <c r="F13" s="9">
        <v>0</v>
      </c>
      <c r="G13" s="9">
        <v>0</v>
      </c>
      <c r="H13" s="9">
        <v>350</v>
      </c>
      <c r="I13" s="9">
        <v>0</v>
      </c>
      <c r="J13" s="9">
        <v>0</v>
      </c>
      <c r="K13" s="8">
        <v>575</v>
      </c>
      <c r="L13" s="8">
        <v>350</v>
      </c>
      <c r="M13" s="8">
        <v>200</v>
      </c>
      <c r="N13" s="9">
        <v>0</v>
      </c>
      <c r="O13" s="8">
        <v>475</v>
      </c>
      <c r="P13" s="9">
        <v>350</v>
      </c>
    </row>
    <row r="14" spans="1:16" ht="15" customHeight="1" x14ac:dyDescent="0.2">
      <c r="A14" s="6">
        <v>7</v>
      </c>
      <c r="B14" s="6" t="s">
        <v>60</v>
      </c>
      <c r="C14" s="7">
        <f t="shared" si="0"/>
        <v>2525</v>
      </c>
      <c r="D14" s="8">
        <v>200</v>
      </c>
      <c r="E14" s="8">
        <v>0</v>
      </c>
      <c r="F14" s="9">
        <v>200</v>
      </c>
      <c r="G14" s="9">
        <v>350</v>
      </c>
      <c r="H14" s="9">
        <v>250</v>
      </c>
      <c r="I14" s="9">
        <v>0</v>
      </c>
      <c r="J14" s="9">
        <v>0</v>
      </c>
      <c r="K14" s="8">
        <v>475</v>
      </c>
      <c r="L14" s="9">
        <v>250</v>
      </c>
      <c r="M14" s="9">
        <v>250</v>
      </c>
      <c r="N14" s="9">
        <v>0</v>
      </c>
      <c r="O14" s="9">
        <v>250</v>
      </c>
      <c r="P14" s="9">
        <v>300</v>
      </c>
    </row>
    <row r="15" spans="1:16" ht="15" customHeight="1" x14ac:dyDescent="0.2">
      <c r="A15" s="6">
        <v>8</v>
      </c>
      <c r="B15" s="6" t="s">
        <v>14</v>
      </c>
      <c r="C15" s="7">
        <f t="shared" si="0"/>
        <v>2475</v>
      </c>
      <c r="D15" s="8">
        <v>0</v>
      </c>
      <c r="E15" s="9">
        <v>425</v>
      </c>
      <c r="F15" s="9">
        <v>0</v>
      </c>
      <c r="G15" s="9">
        <v>0</v>
      </c>
      <c r="H15" s="9">
        <v>475</v>
      </c>
      <c r="I15" s="9">
        <v>0</v>
      </c>
      <c r="J15" s="9">
        <v>0</v>
      </c>
      <c r="K15" s="8">
        <v>300</v>
      </c>
      <c r="L15" s="9">
        <v>325</v>
      </c>
      <c r="M15" s="8">
        <v>350</v>
      </c>
      <c r="N15" s="9">
        <v>0</v>
      </c>
      <c r="O15" s="8">
        <v>375</v>
      </c>
      <c r="P15" s="9">
        <v>225</v>
      </c>
    </row>
    <row r="16" spans="1:16" ht="15" customHeight="1" x14ac:dyDescent="0.2">
      <c r="A16" s="6">
        <v>9</v>
      </c>
      <c r="B16" s="6" t="s">
        <v>61</v>
      </c>
      <c r="C16" s="7">
        <f t="shared" si="0"/>
        <v>2300</v>
      </c>
      <c r="D16" s="8">
        <v>175</v>
      </c>
      <c r="E16" s="8">
        <v>0</v>
      </c>
      <c r="F16" s="9">
        <v>175</v>
      </c>
      <c r="G16" s="9">
        <v>300</v>
      </c>
      <c r="H16" s="9">
        <v>200</v>
      </c>
      <c r="I16" s="9">
        <v>0</v>
      </c>
      <c r="J16" s="9">
        <v>0</v>
      </c>
      <c r="K16" s="8">
        <v>325</v>
      </c>
      <c r="L16" s="9">
        <v>250</v>
      </c>
      <c r="M16" s="9">
        <v>325</v>
      </c>
      <c r="N16" s="9">
        <v>0</v>
      </c>
      <c r="O16" s="9">
        <v>275</v>
      </c>
      <c r="P16" s="9">
        <v>275</v>
      </c>
    </row>
    <row r="17" spans="1:16" ht="15" customHeight="1" x14ac:dyDescent="0.2">
      <c r="A17" s="6">
        <v>10</v>
      </c>
      <c r="B17" s="6" t="s">
        <v>30</v>
      </c>
      <c r="C17" s="7">
        <f t="shared" si="0"/>
        <v>1525</v>
      </c>
      <c r="D17" s="8">
        <v>0</v>
      </c>
      <c r="E17" s="8">
        <v>0</v>
      </c>
      <c r="F17" s="8">
        <v>0</v>
      </c>
      <c r="G17" s="8">
        <v>0</v>
      </c>
      <c r="H17" s="9">
        <v>375</v>
      </c>
      <c r="I17" s="9">
        <v>0</v>
      </c>
      <c r="J17" s="9">
        <v>0</v>
      </c>
      <c r="K17" s="9">
        <v>0</v>
      </c>
      <c r="L17" s="9">
        <v>275</v>
      </c>
      <c r="M17" s="8">
        <v>300</v>
      </c>
      <c r="N17" s="9">
        <v>0</v>
      </c>
      <c r="O17" s="9">
        <v>0</v>
      </c>
      <c r="P17" s="9">
        <v>575</v>
      </c>
    </row>
    <row r="18" spans="1:16" ht="15" customHeight="1" x14ac:dyDescent="0.2">
      <c r="A18" s="6">
        <v>11</v>
      </c>
      <c r="B18" s="6" t="s">
        <v>22</v>
      </c>
      <c r="C18" s="8">
        <f t="shared" si="0"/>
        <v>1500</v>
      </c>
      <c r="D18" s="8">
        <v>275</v>
      </c>
      <c r="E18" s="8">
        <v>0</v>
      </c>
      <c r="F18" s="9">
        <v>0</v>
      </c>
      <c r="G18" s="9">
        <v>325</v>
      </c>
      <c r="H18" s="9">
        <v>0</v>
      </c>
      <c r="I18" s="9">
        <v>475</v>
      </c>
      <c r="J18" s="9">
        <v>0</v>
      </c>
      <c r="K18" s="9">
        <v>0</v>
      </c>
      <c r="L18" s="9">
        <v>0</v>
      </c>
      <c r="M18" s="9">
        <v>0</v>
      </c>
      <c r="N18" s="9">
        <v>0</v>
      </c>
      <c r="O18" s="9">
        <v>0</v>
      </c>
      <c r="P18" s="9">
        <v>425</v>
      </c>
    </row>
    <row r="19" spans="1:16" ht="15" customHeight="1" x14ac:dyDescent="0.2">
      <c r="A19" s="6">
        <v>12</v>
      </c>
      <c r="B19" s="6" t="s">
        <v>78</v>
      </c>
      <c r="C19" s="8">
        <f t="shared" si="0"/>
        <v>1450</v>
      </c>
      <c r="D19" s="8">
        <v>0</v>
      </c>
      <c r="E19" s="8">
        <v>0</v>
      </c>
      <c r="F19" s="9">
        <v>0</v>
      </c>
      <c r="G19" s="9">
        <v>250</v>
      </c>
      <c r="H19" s="9">
        <v>325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8">
        <v>575</v>
      </c>
      <c r="O19" s="9">
        <v>300</v>
      </c>
      <c r="P19" s="9">
        <v>0</v>
      </c>
    </row>
    <row r="20" spans="1:16" ht="15" customHeight="1" x14ac:dyDescent="0.2">
      <c r="A20" s="6">
        <v>13</v>
      </c>
      <c r="B20" s="6" t="s">
        <v>10</v>
      </c>
      <c r="C20" s="8">
        <f t="shared" si="0"/>
        <v>1300</v>
      </c>
      <c r="D20" s="8">
        <v>0</v>
      </c>
      <c r="E20" s="9">
        <v>0</v>
      </c>
      <c r="F20" s="8">
        <v>300</v>
      </c>
      <c r="G20" s="8">
        <v>475</v>
      </c>
      <c r="H20" s="9">
        <v>175</v>
      </c>
      <c r="I20" s="9">
        <v>350</v>
      </c>
      <c r="J20" s="9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</row>
    <row r="21" spans="1:16" ht="15" customHeight="1" x14ac:dyDescent="0.2">
      <c r="A21" s="6">
        <v>14</v>
      </c>
      <c r="B21" s="6" t="s">
        <v>62</v>
      </c>
      <c r="C21" s="8">
        <f t="shared" si="0"/>
        <v>750</v>
      </c>
      <c r="D21" s="8">
        <v>375</v>
      </c>
      <c r="E21" s="8">
        <v>0</v>
      </c>
      <c r="F21" s="8">
        <v>375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</row>
    <row r="22" spans="1:16" ht="15" customHeight="1" x14ac:dyDescent="0.2">
      <c r="A22" s="6">
        <v>15</v>
      </c>
      <c r="B22" s="6" t="s">
        <v>46</v>
      </c>
      <c r="C22" s="8">
        <f t="shared" si="0"/>
        <v>650</v>
      </c>
      <c r="D22" s="8">
        <v>350</v>
      </c>
      <c r="E22" s="8">
        <v>0</v>
      </c>
      <c r="F22" s="9">
        <v>0</v>
      </c>
      <c r="G22" s="9">
        <v>0</v>
      </c>
      <c r="H22" s="9">
        <v>0</v>
      </c>
      <c r="I22" s="9">
        <v>300</v>
      </c>
      <c r="J22" s="9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</row>
    <row r="23" spans="1:16" ht="15" customHeight="1" x14ac:dyDescent="0.2">
      <c r="A23" s="6">
        <v>16</v>
      </c>
      <c r="B23" s="6" t="s">
        <v>49</v>
      </c>
      <c r="C23" s="8">
        <f t="shared" si="0"/>
        <v>575</v>
      </c>
      <c r="D23" s="8">
        <v>575</v>
      </c>
      <c r="E23" s="8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</row>
    <row r="24" spans="1:16" ht="15" customHeight="1" x14ac:dyDescent="0.2">
      <c r="A24" s="6">
        <v>17</v>
      </c>
      <c r="B24" s="6" t="s">
        <v>54</v>
      </c>
      <c r="C24" s="8">
        <f t="shared" si="0"/>
        <v>550</v>
      </c>
      <c r="D24" s="8">
        <v>325</v>
      </c>
      <c r="E24" s="8">
        <v>0</v>
      </c>
      <c r="F24" s="9">
        <v>0</v>
      </c>
      <c r="G24" s="9">
        <v>225</v>
      </c>
      <c r="H24" s="9">
        <v>0</v>
      </c>
      <c r="I24" s="9">
        <v>0</v>
      </c>
      <c r="J24" s="9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</row>
    <row r="25" spans="1:16" ht="15" customHeight="1" x14ac:dyDescent="0.2">
      <c r="A25" s="6">
        <v>18</v>
      </c>
      <c r="B25" s="6" t="s">
        <v>55</v>
      </c>
      <c r="C25" s="8">
        <f t="shared" si="0"/>
        <v>495</v>
      </c>
      <c r="D25" s="8">
        <v>145</v>
      </c>
      <c r="E25" s="8">
        <v>350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</row>
    <row r="26" spans="1:16" ht="15" customHeight="1" x14ac:dyDescent="0.2">
      <c r="A26" s="6">
        <v>19</v>
      </c>
      <c r="B26" s="6" t="s">
        <v>73</v>
      </c>
      <c r="C26" s="8">
        <f t="shared" si="0"/>
        <v>475</v>
      </c>
      <c r="D26" s="8">
        <v>0</v>
      </c>
      <c r="E26" s="9">
        <v>0</v>
      </c>
      <c r="F26" s="9">
        <v>475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</row>
    <row r="27" spans="1:16" ht="15" customHeight="1" x14ac:dyDescent="0.2">
      <c r="A27" s="6">
        <v>19</v>
      </c>
      <c r="B27" s="6" t="s">
        <v>72</v>
      </c>
      <c r="C27" s="8">
        <f t="shared" si="0"/>
        <v>475</v>
      </c>
      <c r="D27" s="8">
        <v>0</v>
      </c>
      <c r="E27" s="9">
        <f>475</f>
        <v>475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  <c r="P27" s="9">
        <v>0</v>
      </c>
    </row>
    <row r="28" spans="1:16" ht="15" customHeight="1" x14ac:dyDescent="0.2">
      <c r="A28" s="6">
        <v>20</v>
      </c>
      <c r="B28" s="6" t="s">
        <v>58</v>
      </c>
      <c r="C28" s="8">
        <f t="shared" si="0"/>
        <v>455</v>
      </c>
      <c r="D28" s="8">
        <v>130</v>
      </c>
      <c r="E28" s="8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0</v>
      </c>
      <c r="M28" s="9">
        <v>0</v>
      </c>
      <c r="N28" s="8">
        <v>325</v>
      </c>
      <c r="O28" s="9">
        <v>0</v>
      </c>
      <c r="P28" s="9">
        <v>0</v>
      </c>
    </row>
    <row r="29" spans="1:16" ht="15" customHeight="1" x14ac:dyDescent="0.2">
      <c r="A29" s="6">
        <v>21</v>
      </c>
      <c r="B29" s="6" t="s">
        <v>81</v>
      </c>
      <c r="C29" s="8">
        <f t="shared" si="0"/>
        <v>450</v>
      </c>
      <c r="D29" s="8">
        <v>0</v>
      </c>
      <c r="E29" s="9">
        <v>0</v>
      </c>
      <c r="F29" s="8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8">
        <v>275</v>
      </c>
      <c r="N29" s="9">
        <v>0</v>
      </c>
      <c r="O29" s="9">
        <v>0</v>
      </c>
      <c r="P29" s="9">
        <v>175</v>
      </c>
    </row>
    <row r="30" spans="1:16" ht="15" customHeight="1" x14ac:dyDescent="0.2">
      <c r="A30" s="6">
        <v>22</v>
      </c>
      <c r="B30" s="6" t="s">
        <v>79</v>
      </c>
      <c r="C30" s="8">
        <f t="shared" si="0"/>
        <v>425</v>
      </c>
      <c r="D30" s="8">
        <v>0</v>
      </c>
      <c r="E30" s="9">
        <v>0</v>
      </c>
      <c r="F30" s="9">
        <v>0</v>
      </c>
      <c r="G30" s="9">
        <v>0</v>
      </c>
      <c r="H30" s="9">
        <v>425</v>
      </c>
      <c r="I30" s="9">
        <v>0</v>
      </c>
      <c r="J30" s="9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</row>
    <row r="31" spans="1:16" ht="15" customHeight="1" x14ac:dyDescent="0.2">
      <c r="A31" s="6">
        <v>23</v>
      </c>
      <c r="B31" s="6" t="s">
        <v>29</v>
      </c>
      <c r="C31" s="8">
        <f t="shared" si="0"/>
        <v>375</v>
      </c>
      <c r="D31" s="8">
        <v>0</v>
      </c>
      <c r="E31" s="9">
        <v>0</v>
      </c>
      <c r="F31" s="9">
        <v>0</v>
      </c>
      <c r="G31" s="8">
        <v>375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  <c r="P31" s="9">
        <v>0</v>
      </c>
    </row>
    <row r="32" spans="1:16" ht="15" customHeight="1" x14ac:dyDescent="0.2">
      <c r="A32" s="6">
        <v>24</v>
      </c>
      <c r="B32" s="6" t="s">
        <v>6</v>
      </c>
      <c r="C32" s="8">
        <f t="shared" si="0"/>
        <v>350</v>
      </c>
      <c r="D32" s="8">
        <v>0</v>
      </c>
      <c r="E32" s="9">
        <v>0</v>
      </c>
      <c r="F32" s="8">
        <v>350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</row>
    <row r="33" spans="1:16" ht="15" customHeight="1" x14ac:dyDescent="0.2">
      <c r="A33" s="6">
        <v>25</v>
      </c>
      <c r="B33" s="6" t="s">
        <v>76</v>
      </c>
      <c r="C33" s="8">
        <f t="shared" si="0"/>
        <v>325</v>
      </c>
      <c r="D33" s="8">
        <v>0</v>
      </c>
      <c r="E33" s="9">
        <v>0</v>
      </c>
      <c r="F33" s="9">
        <v>0</v>
      </c>
      <c r="G33" s="8">
        <v>325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</row>
    <row r="34" spans="1:16" ht="15" customHeight="1" x14ac:dyDescent="0.2">
      <c r="A34" s="6">
        <v>26</v>
      </c>
      <c r="B34" s="6" t="s">
        <v>77</v>
      </c>
      <c r="C34" s="8">
        <f t="shared" si="0"/>
        <v>275</v>
      </c>
      <c r="D34" s="8">
        <v>0</v>
      </c>
      <c r="E34" s="9">
        <v>0</v>
      </c>
      <c r="F34" s="9">
        <v>0</v>
      </c>
      <c r="G34" s="9">
        <v>275</v>
      </c>
      <c r="H34" s="9">
        <v>0</v>
      </c>
      <c r="I34" s="9">
        <v>0</v>
      </c>
      <c r="J34" s="9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</row>
    <row r="35" spans="1:16" ht="15" customHeight="1" x14ac:dyDescent="0.2">
      <c r="A35" s="6">
        <v>27</v>
      </c>
      <c r="B35" s="6" t="s">
        <v>50</v>
      </c>
      <c r="C35" s="8">
        <f t="shared" si="0"/>
        <v>250</v>
      </c>
      <c r="D35" s="8">
        <v>0</v>
      </c>
      <c r="E35" s="9">
        <v>0</v>
      </c>
      <c r="F35" s="8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  <c r="P35" s="9">
        <v>250</v>
      </c>
    </row>
    <row r="36" spans="1:16" ht="15" customHeight="1" x14ac:dyDescent="0.2">
      <c r="A36" s="6">
        <v>28</v>
      </c>
      <c r="B36" s="6" t="s">
        <v>23</v>
      </c>
      <c r="C36" s="8">
        <f t="shared" si="0"/>
        <v>225</v>
      </c>
      <c r="D36" s="8">
        <v>225</v>
      </c>
      <c r="E36" s="8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</row>
    <row r="37" spans="1:16" ht="15" customHeight="1" x14ac:dyDescent="0.2">
      <c r="A37" s="6">
        <v>28</v>
      </c>
      <c r="B37" s="6" t="s">
        <v>74</v>
      </c>
      <c r="C37" s="8">
        <f t="shared" si="0"/>
        <v>225</v>
      </c>
      <c r="D37" s="8">
        <v>0</v>
      </c>
      <c r="E37" s="9">
        <v>0</v>
      </c>
      <c r="F37" s="8">
        <v>225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</row>
    <row r="38" spans="1:16" ht="15" customHeight="1" x14ac:dyDescent="0.2">
      <c r="A38" s="6">
        <v>29</v>
      </c>
      <c r="B38" s="6" t="s">
        <v>45</v>
      </c>
      <c r="C38" s="8">
        <f t="shared" si="0"/>
        <v>200</v>
      </c>
      <c r="D38" s="8">
        <v>0</v>
      </c>
      <c r="E38" s="8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  <c r="P38" s="9">
        <v>200</v>
      </c>
    </row>
    <row r="39" spans="1:16" ht="15" customHeight="1" x14ac:dyDescent="0.2">
      <c r="A39" s="6">
        <v>29</v>
      </c>
      <c r="B39" s="6" t="s">
        <v>64</v>
      </c>
      <c r="C39" s="8">
        <f t="shared" si="0"/>
        <v>200</v>
      </c>
      <c r="D39" s="8">
        <v>0</v>
      </c>
      <c r="E39" s="8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200</v>
      </c>
      <c r="M39" s="9">
        <v>0</v>
      </c>
      <c r="N39" s="9">
        <v>0</v>
      </c>
      <c r="O39" s="9">
        <v>0</v>
      </c>
      <c r="P39" s="9">
        <v>0</v>
      </c>
    </row>
    <row r="40" spans="1:16" ht="15" customHeight="1" x14ac:dyDescent="0.2">
      <c r="A40" s="6">
        <v>30</v>
      </c>
      <c r="B40" s="6" t="s">
        <v>75</v>
      </c>
      <c r="C40" s="8">
        <f t="shared" si="0"/>
        <v>160</v>
      </c>
      <c r="D40" s="8">
        <v>0</v>
      </c>
      <c r="E40" s="9">
        <v>0</v>
      </c>
      <c r="F40" s="8">
        <v>160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</row>
    <row r="41" spans="1:16" ht="15" customHeight="1" x14ac:dyDescent="0.2">
      <c r="A41" s="6">
        <v>30</v>
      </c>
      <c r="B41" s="6" t="s">
        <v>80</v>
      </c>
      <c r="C41" s="8">
        <f t="shared" si="0"/>
        <v>160</v>
      </c>
      <c r="D41" s="8">
        <v>0</v>
      </c>
      <c r="E41" s="8">
        <v>0</v>
      </c>
      <c r="F41" s="8">
        <v>0</v>
      </c>
      <c r="G41" s="8">
        <v>0</v>
      </c>
      <c r="H41" s="9">
        <v>160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</row>
    <row r="43" spans="1:16" ht="18.75" customHeight="1" x14ac:dyDescent="0.25">
      <c r="A43" s="48" t="s">
        <v>3</v>
      </c>
      <c r="B43" s="49"/>
      <c r="C43" s="49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</row>
    <row r="44" spans="1:16" ht="18.75" customHeight="1" x14ac:dyDescent="0.25">
      <c r="A44" s="50" t="s">
        <v>4</v>
      </c>
      <c r="B44" s="51"/>
      <c r="C44" s="51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</row>
    <row r="45" spans="1:16" ht="18.75" customHeight="1" x14ac:dyDescent="0.25">
      <c r="A45" s="52" t="s">
        <v>5</v>
      </c>
      <c r="B45" s="53"/>
      <c r="C45" s="53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</row>
  </sheetData>
  <mergeCells count="9">
    <mergeCell ref="A43:C43"/>
    <mergeCell ref="A44:C44"/>
    <mergeCell ref="A45:C45"/>
    <mergeCell ref="A1:P1"/>
    <mergeCell ref="A2:P2"/>
    <mergeCell ref="A3:P3"/>
    <mergeCell ref="A4:P4"/>
    <mergeCell ref="A5:P5"/>
    <mergeCell ref="A6:P6"/>
  </mergeCells>
  <pageMargins left="0.7" right="0.7" top="0.75" bottom="0.75" header="0.3" footer="0.3"/>
  <pageSetup orientation="landscape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9"/>
  <sheetViews>
    <sheetView workbookViewId="0">
      <selection activeCell="C8" sqref="C8"/>
    </sheetView>
  </sheetViews>
  <sheetFormatPr defaultRowHeight="12.75" x14ac:dyDescent="0.2"/>
  <cols>
    <col min="1" max="1" width="8.5703125" customWidth="1"/>
    <col min="2" max="2" width="24.7109375" customWidth="1"/>
    <col min="3" max="3" width="10.42578125" customWidth="1"/>
    <col min="4" max="16" width="6.5703125" customWidth="1"/>
    <col min="17" max="17" width="8.7109375" customWidth="1"/>
  </cols>
  <sheetData>
    <row r="1" spans="1:16" ht="126" customHeight="1" x14ac:dyDescent="0.2">
      <c r="A1" s="36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</row>
    <row r="2" spans="1:16" ht="45" customHeight="1" x14ac:dyDescent="0.5">
      <c r="A2" s="54" t="s">
        <v>17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6" ht="33" customHeight="1" x14ac:dyDescent="0.4">
      <c r="A3" s="55" t="s">
        <v>48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</row>
    <row r="4" spans="1:16" ht="9.75" customHeight="1" x14ac:dyDescent="0.4">
      <c r="A4" s="55"/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56"/>
    </row>
    <row r="5" spans="1:16" ht="30" customHeight="1" x14ac:dyDescent="0.4">
      <c r="A5" s="57" t="s">
        <v>9</v>
      </c>
      <c r="B5" s="58"/>
      <c r="C5" s="58"/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  <c r="P5" s="58"/>
    </row>
    <row r="6" spans="1:16" ht="16.5" customHeight="1" x14ac:dyDescent="0.2">
      <c r="A6" s="38"/>
      <c r="B6" s="38"/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  <c r="P6" s="38"/>
    </row>
    <row r="7" spans="1:16" ht="15" customHeight="1" x14ac:dyDescent="0.25">
      <c r="A7" s="1" t="s">
        <v>1</v>
      </c>
      <c r="B7" s="1" t="s">
        <v>0</v>
      </c>
      <c r="C7" s="1" t="s">
        <v>2</v>
      </c>
      <c r="D7" s="2">
        <v>44374</v>
      </c>
      <c r="E7" s="2">
        <v>44388</v>
      </c>
      <c r="F7" s="2">
        <v>44395</v>
      </c>
      <c r="G7" s="2">
        <v>44402</v>
      </c>
      <c r="H7" s="2">
        <v>44409</v>
      </c>
      <c r="I7" s="2">
        <v>44416</v>
      </c>
      <c r="J7" s="2">
        <v>44423</v>
      </c>
      <c r="K7" s="2">
        <v>44430</v>
      </c>
      <c r="L7" s="2">
        <v>44437</v>
      </c>
      <c r="M7" s="2">
        <v>44444</v>
      </c>
      <c r="N7" s="2">
        <v>44451</v>
      </c>
      <c r="O7" s="2">
        <v>44458</v>
      </c>
      <c r="P7" s="2">
        <v>44465</v>
      </c>
    </row>
    <row r="8" spans="1:16" ht="15" customHeight="1" x14ac:dyDescent="0.2">
      <c r="A8" s="6">
        <v>1</v>
      </c>
      <c r="B8" s="6" t="s">
        <v>16</v>
      </c>
      <c r="C8" s="7">
        <f t="shared" ref="C8:C45" si="0">D8+E8+F8+G8+H8+I8+J8+K8+L8+M8+N8+O8+P8</f>
        <v>4725</v>
      </c>
      <c r="D8" s="8">
        <v>175</v>
      </c>
      <c r="E8" s="9">
        <v>425</v>
      </c>
      <c r="F8" s="9">
        <v>375</v>
      </c>
      <c r="G8" s="9">
        <v>275</v>
      </c>
      <c r="H8" s="9">
        <v>350</v>
      </c>
      <c r="I8" s="9">
        <v>325</v>
      </c>
      <c r="J8" s="8">
        <v>425</v>
      </c>
      <c r="K8" s="8">
        <v>375</v>
      </c>
      <c r="L8" s="8">
        <v>375</v>
      </c>
      <c r="M8" s="8">
        <v>350</v>
      </c>
      <c r="N8" s="8">
        <v>275</v>
      </c>
      <c r="O8" s="8">
        <v>575</v>
      </c>
      <c r="P8" s="8">
        <v>425</v>
      </c>
    </row>
    <row r="9" spans="1:16" ht="15" customHeight="1" x14ac:dyDescent="0.2">
      <c r="A9" s="6">
        <v>2</v>
      </c>
      <c r="B9" s="6" t="s">
        <v>13</v>
      </c>
      <c r="C9" s="7">
        <f t="shared" si="0"/>
        <v>4330</v>
      </c>
      <c r="D9" s="8">
        <v>130</v>
      </c>
      <c r="E9" s="9">
        <v>375</v>
      </c>
      <c r="F9" s="8">
        <v>0</v>
      </c>
      <c r="G9" s="8">
        <v>425</v>
      </c>
      <c r="H9" s="9">
        <v>325</v>
      </c>
      <c r="I9" s="9">
        <v>575</v>
      </c>
      <c r="J9" s="8">
        <v>175</v>
      </c>
      <c r="K9" s="8">
        <v>425</v>
      </c>
      <c r="L9" s="8">
        <v>325</v>
      </c>
      <c r="M9" s="8">
        <v>575</v>
      </c>
      <c r="N9" s="8">
        <v>250</v>
      </c>
      <c r="O9" s="8">
        <v>375</v>
      </c>
      <c r="P9" s="8">
        <v>375</v>
      </c>
    </row>
    <row r="10" spans="1:16" ht="15" customHeight="1" x14ac:dyDescent="0.2">
      <c r="A10" s="6">
        <v>3</v>
      </c>
      <c r="B10" s="6" t="s">
        <v>7</v>
      </c>
      <c r="C10" s="7">
        <f t="shared" si="0"/>
        <v>3785</v>
      </c>
      <c r="D10" s="8">
        <v>250</v>
      </c>
      <c r="E10" s="9">
        <v>160</v>
      </c>
      <c r="F10" s="8">
        <v>0</v>
      </c>
      <c r="G10" s="8">
        <v>325</v>
      </c>
      <c r="H10" s="9">
        <v>250</v>
      </c>
      <c r="I10" s="9">
        <v>375</v>
      </c>
      <c r="J10" s="9">
        <v>575</v>
      </c>
      <c r="K10" s="8">
        <v>575</v>
      </c>
      <c r="L10" s="9">
        <v>0</v>
      </c>
      <c r="M10" s="8">
        <v>475</v>
      </c>
      <c r="N10" s="8">
        <v>375</v>
      </c>
      <c r="O10" s="8">
        <v>425</v>
      </c>
      <c r="P10" s="9">
        <v>0</v>
      </c>
    </row>
    <row r="11" spans="1:16" ht="15" customHeight="1" x14ac:dyDescent="0.2">
      <c r="A11" s="6">
        <v>4</v>
      </c>
      <c r="B11" s="6" t="s">
        <v>14</v>
      </c>
      <c r="C11" s="7">
        <f t="shared" si="0"/>
        <v>3350</v>
      </c>
      <c r="D11" s="8">
        <v>275</v>
      </c>
      <c r="E11" s="9">
        <v>350</v>
      </c>
      <c r="F11" s="8">
        <v>0</v>
      </c>
      <c r="G11" s="9">
        <v>0</v>
      </c>
      <c r="H11" s="9">
        <v>375</v>
      </c>
      <c r="I11" s="9">
        <v>425</v>
      </c>
      <c r="J11" s="9">
        <v>275</v>
      </c>
      <c r="K11" s="8">
        <v>350</v>
      </c>
      <c r="L11" s="9">
        <v>0</v>
      </c>
      <c r="M11" s="8">
        <v>375</v>
      </c>
      <c r="N11" s="8">
        <v>575</v>
      </c>
      <c r="O11" s="8">
        <v>350</v>
      </c>
      <c r="P11" s="9">
        <v>0</v>
      </c>
    </row>
    <row r="12" spans="1:16" ht="15" customHeight="1" x14ac:dyDescent="0.2">
      <c r="A12" s="6">
        <v>5</v>
      </c>
      <c r="B12" s="6" t="s">
        <v>63</v>
      </c>
      <c r="C12" s="7">
        <f t="shared" si="0"/>
        <v>3125</v>
      </c>
      <c r="D12" s="8">
        <v>475</v>
      </c>
      <c r="E12" s="9">
        <v>575</v>
      </c>
      <c r="F12" s="9">
        <v>425</v>
      </c>
      <c r="G12" s="9">
        <v>300</v>
      </c>
      <c r="H12" s="9">
        <v>0</v>
      </c>
      <c r="I12" s="9">
        <v>225</v>
      </c>
      <c r="J12" s="9">
        <v>225</v>
      </c>
      <c r="K12" s="9">
        <v>0</v>
      </c>
      <c r="L12" s="8">
        <v>425</v>
      </c>
      <c r="M12" s="9">
        <v>0</v>
      </c>
      <c r="N12" s="8">
        <v>475</v>
      </c>
      <c r="O12" s="9">
        <v>0</v>
      </c>
      <c r="P12" s="9">
        <v>0</v>
      </c>
    </row>
    <row r="13" spans="1:16" ht="15" customHeight="1" x14ac:dyDescent="0.2">
      <c r="A13" s="6">
        <v>6</v>
      </c>
      <c r="B13" s="6" t="s">
        <v>54</v>
      </c>
      <c r="C13" s="7">
        <f t="shared" si="0"/>
        <v>2530</v>
      </c>
      <c r="D13" s="8">
        <v>575</v>
      </c>
      <c r="E13" s="9">
        <v>130</v>
      </c>
      <c r="F13" s="9">
        <v>225</v>
      </c>
      <c r="G13" s="9">
        <v>0</v>
      </c>
      <c r="H13" s="9">
        <v>425</v>
      </c>
      <c r="I13" s="9">
        <v>250</v>
      </c>
      <c r="J13" s="9">
        <v>300</v>
      </c>
      <c r="K13" s="9">
        <v>0</v>
      </c>
      <c r="L13" s="9">
        <v>0</v>
      </c>
      <c r="M13" s="9">
        <v>0</v>
      </c>
      <c r="N13" s="8">
        <v>350</v>
      </c>
      <c r="O13" s="8">
        <v>275</v>
      </c>
      <c r="P13" s="9">
        <v>0</v>
      </c>
    </row>
    <row r="14" spans="1:16" ht="15" customHeight="1" x14ac:dyDescent="0.2">
      <c r="A14" s="6">
        <v>7</v>
      </c>
      <c r="B14" s="6" t="s">
        <v>27</v>
      </c>
      <c r="C14" s="7">
        <f t="shared" si="0"/>
        <v>2450</v>
      </c>
      <c r="D14" s="8">
        <v>225</v>
      </c>
      <c r="E14" s="9">
        <v>475</v>
      </c>
      <c r="F14" s="8">
        <v>0</v>
      </c>
      <c r="G14" s="8">
        <v>575</v>
      </c>
      <c r="H14" s="9">
        <v>575</v>
      </c>
      <c r="I14" s="9">
        <v>300</v>
      </c>
      <c r="J14" s="9">
        <v>0</v>
      </c>
      <c r="K14" s="9">
        <v>0</v>
      </c>
      <c r="L14" s="9">
        <v>0</v>
      </c>
      <c r="M14" s="9">
        <v>0</v>
      </c>
      <c r="N14" s="8">
        <v>300</v>
      </c>
      <c r="O14" s="9">
        <v>0</v>
      </c>
      <c r="P14" s="9">
        <v>0</v>
      </c>
    </row>
    <row r="15" spans="1:16" ht="15" customHeight="1" x14ac:dyDescent="0.2">
      <c r="A15" s="6">
        <v>8</v>
      </c>
      <c r="B15" s="6" t="s">
        <v>58</v>
      </c>
      <c r="C15" s="7">
        <f t="shared" si="0"/>
        <v>2415</v>
      </c>
      <c r="D15" s="8">
        <v>0</v>
      </c>
      <c r="E15" s="9">
        <v>0</v>
      </c>
      <c r="F15" s="9">
        <v>0</v>
      </c>
      <c r="G15" s="9">
        <v>225</v>
      </c>
      <c r="H15" s="9">
        <v>275</v>
      </c>
      <c r="I15" s="9">
        <v>160</v>
      </c>
      <c r="J15" s="9">
        <v>0</v>
      </c>
      <c r="K15" s="8">
        <v>275</v>
      </c>
      <c r="L15" s="8">
        <v>275</v>
      </c>
      <c r="M15" s="8">
        <v>425</v>
      </c>
      <c r="N15" s="8">
        <v>130</v>
      </c>
      <c r="O15" s="8">
        <v>325</v>
      </c>
      <c r="P15" s="8">
        <v>325</v>
      </c>
    </row>
    <row r="16" spans="1:16" ht="15" customHeight="1" x14ac:dyDescent="0.2">
      <c r="A16" s="6">
        <v>9</v>
      </c>
      <c r="B16" s="6" t="s">
        <v>19</v>
      </c>
      <c r="C16" s="7">
        <f t="shared" si="0"/>
        <v>2365</v>
      </c>
      <c r="D16" s="8">
        <v>0</v>
      </c>
      <c r="E16" s="9">
        <v>250</v>
      </c>
      <c r="F16" s="9">
        <v>350</v>
      </c>
      <c r="G16" s="9">
        <v>375</v>
      </c>
      <c r="H16" s="9">
        <v>300</v>
      </c>
      <c r="I16" s="9">
        <v>130</v>
      </c>
      <c r="J16" s="9">
        <v>160</v>
      </c>
      <c r="K16" s="8">
        <v>300</v>
      </c>
      <c r="L16" s="9">
        <v>0</v>
      </c>
      <c r="M16" s="8">
        <v>325</v>
      </c>
      <c r="N16" s="8">
        <v>175</v>
      </c>
      <c r="O16" s="9">
        <v>0</v>
      </c>
      <c r="P16" s="9">
        <v>0</v>
      </c>
    </row>
    <row r="17" spans="1:16" ht="15" customHeight="1" x14ac:dyDescent="0.2">
      <c r="A17" s="6">
        <v>10</v>
      </c>
      <c r="B17" s="6" t="s">
        <v>60</v>
      </c>
      <c r="C17" s="7">
        <f t="shared" si="0"/>
        <v>2150</v>
      </c>
      <c r="D17" s="8">
        <v>0</v>
      </c>
      <c r="E17" s="9">
        <v>0</v>
      </c>
      <c r="F17" s="9">
        <v>0</v>
      </c>
      <c r="G17" s="9">
        <v>0</v>
      </c>
      <c r="H17" s="9">
        <v>0</v>
      </c>
      <c r="I17" s="9">
        <v>200</v>
      </c>
      <c r="J17" s="9">
        <v>375</v>
      </c>
      <c r="K17" s="9">
        <v>0</v>
      </c>
      <c r="L17" s="8">
        <v>575</v>
      </c>
      <c r="M17" s="9">
        <v>0</v>
      </c>
      <c r="N17" s="8">
        <v>425</v>
      </c>
      <c r="O17" s="9">
        <v>0</v>
      </c>
      <c r="P17" s="8">
        <v>575</v>
      </c>
    </row>
    <row r="18" spans="1:16" ht="15" customHeight="1" x14ac:dyDescent="0.2">
      <c r="A18" s="6">
        <v>11</v>
      </c>
      <c r="B18" s="6" t="s">
        <v>50</v>
      </c>
      <c r="C18" s="8">
        <f t="shared" si="0"/>
        <v>2120</v>
      </c>
      <c r="D18" s="8">
        <v>200</v>
      </c>
      <c r="E18" s="9">
        <v>300</v>
      </c>
      <c r="F18" s="9">
        <v>300</v>
      </c>
      <c r="G18" s="9">
        <v>350</v>
      </c>
      <c r="H18" s="9">
        <v>0</v>
      </c>
      <c r="I18" s="9">
        <v>350</v>
      </c>
      <c r="J18" s="9">
        <v>145</v>
      </c>
      <c r="K18" s="8">
        <v>475</v>
      </c>
      <c r="L18" s="9">
        <v>0</v>
      </c>
      <c r="M18" s="9">
        <v>0</v>
      </c>
      <c r="N18" s="9">
        <v>0</v>
      </c>
      <c r="O18" s="9">
        <v>0</v>
      </c>
      <c r="P18" s="9">
        <v>0</v>
      </c>
    </row>
    <row r="19" spans="1:16" ht="15" customHeight="1" x14ac:dyDescent="0.2">
      <c r="A19" s="6">
        <v>12</v>
      </c>
      <c r="B19" s="6" t="s">
        <v>22</v>
      </c>
      <c r="C19" s="8">
        <f t="shared" si="0"/>
        <v>2035</v>
      </c>
      <c r="D19" s="8">
        <v>160</v>
      </c>
      <c r="E19" s="9">
        <v>275</v>
      </c>
      <c r="F19" s="9">
        <v>475</v>
      </c>
      <c r="G19" s="9">
        <v>250</v>
      </c>
      <c r="H19" s="9">
        <v>0</v>
      </c>
      <c r="I19" s="9">
        <v>0</v>
      </c>
      <c r="J19" s="9">
        <v>0</v>
      </c>
      <c r="K19" s="8">
        <v>325</v>
      </c>
      <c r="L19" s="9">
        <v>0</v>
      </c>
      <c r="M19" s="9">
        <v>0</v>
      </c>
      <c r="N19" s="8">
        <v>200</v>
      </c>
      <c r="O19" s="9">
        <v>0</v>
      </c>
      <c r="P19" s="8">
        <v>350</v>
      </c>
    </row>
    <row r="20" spans="1:16" ht="15" customHeight="1" x14ac:dyDescent="0.2">
      <c r="A20" s="6">
        <v>13</v>
      </c>
      <c r="B20" s="6" t="s">
        <v>11</v>
      </c>
      <c r="C20" s="8">
        <f t="shared" si="0"/>
        <v>1570</v>
      </c>
      <c r="D20" s="8">
        <v>350</v>
      </c>
      <c r="E20" s="9">
        <v>200</v>
      </c>
      <c r="F20" s="9">
        <v>325</v>
      </c>
      <c r="G20" s="9">
        <v>0</v>
      </c>
      <c r="H20" s="9">
        <v>0</v>
      </c>
      <c r="I20" s="9">
        <v>145</v>
      </c>
      <c r="J20" s="8">
        <v>250</v>
      </c>
      <c r="K20" s="9">
        <v>0</v>
      </c>
      <c r="L20" s="9">
        <v>0</v>
      </c>
      <c r="M20" s="9">
        <v>0</v>
      </c>
      <c r="N20" s="9">
        <v>0</v>
      </c>
      <c r="O20" s="8">
        <v>300</v>
      </c>
      <c r="P20" s="9">
        <v>0</v>
      </c>
    </row>
    <row r="21" spans="1:16" ht="15" customHeight="1" x14ac:dyDescent="0.2">
      <c r="A21" s="6">
        <v>14</v>
      </c>
      <c r="B21" s="6" t="s">
        <v>10</v>
      </c>
      <c r="C21" s="8">
        <f t="shared" si="0"/>
        <v>1550</v>
      </c>
      <c r="D21" s="8">
        <v>0</v>
      </c>
      <c r="E21" s="8">
        <v>0</v>
      </c>
      <c r="F21" s="8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8">
        <v>300</v>
      </c>
      <c r="M21" s="8">
        <v>300</v>
      </c>
      <c r="N21" s="9">
        <v>0</v>
      </c>
      <c r="O21" s="8">
        <v>475</v>
      </c>
      <c r="P21" s="8">
        <v>475</v>
      </c>
    </row>
    <row r="22" spans="1:16" ht="15" customHeight="1" x14ac:dyDescent="0.2">
      <c r="A22" s="6">
        <v>15</v>
      </c>
      <c r="B22" s="6" t="s">
        <v>61</v>
      </c>
      <c r="C22" s="8">
        <f t="shared" si="0"/>
        <v>1310</v>
      </c>
      <c r="D22" s="8">
        <v>0</v>
      </c>
      <c r="E22" s="9">
        <v>0</v>
      </c>
      <c r="F22" s="9">
        <v>0</v>
      </c>
      <c r="G22" s="9">
        <v>0</v>
      </c>
      <c r="H22" s="9">
        <v>0</v>
      </c>
      <c r="I22" s="9">
        <v>475</v>
      </c>
      <c r="J22" s="9">
        <v>200</v>
      </c>
      <c r="K22" s="9">
        <v>0</v>
      </c>
      <c r="L22" s="8">
        <v>475</v>
      </c>
      <c r="M22" s="9">
        <v>0</v>
      </c>
      <c r="N22" s="8">
        <v>160</v>
      </c>
      <c r="O22" s="9">
        <v>0</v>
      </c>
      <c r="P22" s="9">
        <v>0</v>
      </c>
    </row>
    <row r="23" spans="1:16" ht="15" customHeight="1" x14ac:dyDescent="0.2">
      <c r="A23" s="6">
        <v>16</v>
      </c>
      <c r="B23" s="6" t="s">
        <v>65</v>
      </c>
      <c r="C23" s="8">
        <f t="shared" si="0"/>
        <v>1000</v>
      </c>
      <c r="D23" s="8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325</v>
      </c>
      <c r="K23" s="9">
        <v>0</v>
      </c>
      <c r="L23" s="8">
        <v>350</v>
      </c>
      <c r="M23" s="9">
        <v>0</v>
      </c>
      <c r="N23" s="8">
        <v>325</v>
      </c>
      <c r="O23" s="9">
        <v>0</v>
      </c>
      <c r="P23" s="9">
        <v>0</v>
      </c>
    </row>
    <row r="24" spans="1:16" ht="15" customHeight="1" x14ac:dyDescent="0.2">
      <c r="A24" s="6">
        <v>17</v>
      </c>
      <c r="B24" s="6" t="s">
        <v>6</v>
      </c>
      <c r="C24" s="8">
        <f t="shared" si="0"/>
        <v>725</v>
      </c>
      <c r="D24" s="8">
        <v>375</v>
      </c>
      <c r="E24" s="8">
        <v>0</v>
      </c>
      <c r="F24" s="8">
        <v>0</v>
      </c>
      <c r="G24" s="9">
        <v>0</v>
      </c>
      <c r="H24" s="9">
        <v>0</v>
      </c>
      <c r="I24" s="9">
        <v>0</v>
      </c>
      <c r="J24" s="9">
        <v>350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</row>
    <row r="25" spans="1:16" ht="15" customHeight="1" x14ac:dyDescent="0.2">
      <c r="A25" s="6">
        <v>18</v>
      </c>
      <c r="B25" s="6" t="s">
        <v>64</v>
      </c>
      <c r="C25" s="8">
        <f t="shared" si="0"/>
        <v>700</v>
      </c>
      <c r="D25" s="8">
        <v>0</v>
      </c>
      <c r="E25" s="8">
        <v>0</v>
      </c>
      <c r="F25" s="8">
        <v>0</v>
      </c>
      <c r="G25" s="8">
        <v>0</v>
      </c>
      <c r="H25" s="9">
        <v>0</v>
      </c>
      <c r="I25" s="9">
        <v>0</v>
      </c>
      <c r="J25" s="8">
        <v>475</v>
      </c>
      <c r="K25" s="9">
        <v>0</v>
      </c>
      <c r="L25" s="9">
        <v>0</v>
      </c>
      <c r="M25" s="9">
        <v>0</v>
      </c>
      <c r="N25" s="8">
        <v>225</v>
      </c>
      <c r="O25" s="9">
        <v>0</v>
      </c>
      <c r="P25" s="9">
        <v>0</v>
      </c>
    </row>
    <row r="26" spans="1:16" ht="15" customHeight="1" x14ac:dyDescent="0.2">
      <c r="A26" s="6">
        <v>19</v>
      </c>
      <c r="B26" s="6" t="s">
        <v>15</v>
      </c>
      <c r="C26" s="8">
        <f t="shared" si="0"/>
        <v>650</v>
      </c>
      <c r="D26" s="8">
        <v>0</v>
      </c>
      <c r="E26" s="9">
        <v>0</v>
      </c>
      <c r="F26" s="9">
        <v>0</v>
      </c>
      <c r="G26" s="9">
        <v>0</v>
      </c>
      <c r="H26" s="9">
        <v>475</v>
      </c>
      <c r="I26" s="9">
        <v>175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</row>
    <row r="27" spans="1:16" ht="15" customHeight="1" x14ac:dyDescent="0.2">
      <c r="A27" s="6">
        <v>20</v>
      </c>
      <c r="B27" s="6" t="s">
        <v>55</v>
      </c>
      <c r="C27" s="8">
        <f t="shared" si="0"/>
        <v>575</v>
      </c>
      <c r="D27" s="8">
        <v>0</v>
      </c>
      <c r="E27" s="8">
        <v>0</v>
      </c>
      <c r="F27" s="8">
        <v>575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  <c r="P27" s="9">
        <v>0</v>
      </c>
    </row>
    <row r="28" spans="1:16" ht="15" customHeight="1" x14ac:dyDescent="0.2">
      <c r="A28" s="6">
        <v>21</v>
      </c>
      <c r="B28" s="6" t="s">
        <v>57</v>
      </c>
      <c r="C28" s="8">
        <f t="shared" si="0"/>
        <v>475</v>
      </c>
      <c r="D28" s="8">
        <v>0</v>
      </c>
      <c r="E28" s="9">
        <v>0</v>
      </c>
      <c r="F28" s="9">
        <v>0</v>
      </c>
      <c r="G28" s="9">
        <v>475</v>
      </c>
      <c r="H28" s="9">
        <v>0</v>
      </c>
      <c r="I28" s="9">
        <v>0</v>
      </c>
      <c r="J28" s="9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</row>
    <row r="29" spans="1:16" ht="15" customHeight="1" x14ac:dyDescent="0.2">
      <c r="A29" s="6">
        <v>22</v>
      </c>
      <c r="B29" s="6" t="s">
        <v>38</v>
      </c>
      <c r="C29" s="8">
        <f t="shared" si="0"/>
        <v>470</v>
      </c>
      <c r="D29" s="8">
        <v>145</v>
      </c>
      <c r="E29" s="9">
        <v>325</v>
      </c>
      <c r="F29" s="8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</row>
    <row r="30" spans="1:16" ht="15" customHeight="1" x14ac:dyDescent="0.2">
      <c r="A30" s="6">
        <v>23</v>
      </c>
      <c r="B30" s="6" t="s">
        <v>52</v>
      </c>
      <c r="C30" s="8">
        <f t="shared" si="0"/>
        <v>425</v>
      </c>
      <c r="D30" s="8">
        <v>0</v>
      </c>
      <c r="E30" s="9">
        <v>175</v>
      </c>
      <c r="F30" s="9">
        <v>250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</row>
    <row r="31" spans="1:16" ht="15" customHeight="1" x14ac:dyDescent="0.2">
      <c r="A31" s="6">
        <v>23</v>
      </c>
      <c r="B31" s="6" t="s">
        <v>46</v>
      </c>
      <c r="C31" s="8">
        <f t="shared" si="0"/>
        <v>425</v>
      </c>
      <c r="D31" s="8">
        <v>425</v>
      </c>
      <c r="E31" s="8">
        <v>0</v>
      </c>
      <c r="F31" s="8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  <c r="P31" s="9">
        <v>0</v>
      </c>
    </row>
    <row r="32" spans="1:16" ht="15" customHeight="1" x14ac:dyDescent="0.2">
      <c r="A32" s="6">
        <v>24</v>
      </c>
      <c r="B32" s="6" t="s">
        <v>53</v>
      </c>
      <c r="C32" s="8">
        <f t="shared" si="0"/>
        <v>420</v>
      </c>
      <c r="D32" s="8">
        <v>0</v>
      </c>
      <c r="E32" s="9">
        <v>145</v>
      </c>
      <c r="F32" s="9">
        <v>275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</row>
    <row r="33" spans="1:16" ht="15" customHeight="1" x14ac:dyDescent="0.2">
      <c r="A33" s="6">
        <v>25</v>
      </c>
      <c r="B33" s="6" t="s">
        <v>59</v>
      </c>
      <c r="C33" s="8">
        <f t="shared" si="0"/>
        <v>400</v>
      </c>
      <c r="D33" s="8">
        <v>0</v>
      </c>
      <c r="E33" s="9">
        <v>0</v>
      </c>
      <c r="F33" s="9">
        <v>0</v>
      </c>
      <c r="G33" s="9">
        <v>200</v>
      </c>
      <c r="H33" s="9">
        <v>200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</row>
    <row r="34" spans="1:16" ht="15" customHeight="1" x14ac:dyDescent="0.2">
      <c r="A34" s="6">
        <v>26</v>
      </c>
      <c r="B34" s="6" t="s">
        <v>23</v>
      </c>
      <c r="C34" s="8">
        <f t="shared" si="0"/>
        <v>325</v>
      </c>
      <c r="D34" s="8">
        <v>325</v>
      </c>
      <c r="E34" s="8">
        <v>0</v>
      </c>
      <c r="F34" s="8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</row>
    <row r="35" spans="1:16" ht="15" customHeight="1" x14ac:dyDescent="0.2">
      <c r="A35" s="6">
        <v>27</v>
      </c>
      <c r="B35" s="6" t="s">
        <v>49</v>
      </c>
      <c r="C35" s="8">
        <f t="shared" si="0"/>
        <v>300</v>
      </c>
      <c r="D35" s="8">
        <v>300</v>
      </c>
      <c r="E35" s="8">
        <v>0</v>
      </c>
      <c r="F35" s="8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</row>
    <row r="36" spans="1:16" ht="15" customHeight="1" x14ac:dyDescent="0.2">
      <c r="A36" s="6">
        <v>28</v>
      </c>
      <c r="B36" s="6" t="s">
        <v>62</v>
      </c>
      <c r="C36" s="8">
        <f t="shared" si="0"/>
        <v>275</v>
      </c>
      <c r="D36" s="8">
        <v>0</v>
      </c>
      <c r="E36" s="9">
        <v>0</v>
      </c>
      <c r="F36" s="9">
        <v>0</v>
      </c>
      <c r="G36" s="9">
        <v>0</v>
      </c>
      <c r="H36" s="9">
        <v>0</v>
      </c>
      <c r="I36" s="9">
        <v>275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</row>
    <row r="37" spans="1:16" ht="15" customHeight="1" x14ac:dyDescent="0.2">
      <c r="A37" s="6">
        <v>28</v>
      </c>
      <c r="B37" s="6" t="s">
        <v>68</v>
      </c>
      <c r="C37" s="8">
        <f t="shared" si="0"/>
        <v>275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8">
        <v>275</v>
      </c>
      <c r="N37" s="9">
        <v>0</v>
      </c>
      <c r="O37" s="9">
        <v>0</v>
      </c>
      <c r="P37" s="9">
        <v>0</v>
      </c>
    </row>
    <row r="38" spans="1:16" ht="15" customHeight="1" x14ac:dyDescent="0.2">
      <c r="A38" s="6">
        <v>29</v>
      </c>
      <c r="B38" s="6" t="s">
        <v>69</v>
      </c>
      <c r="C38" s="8">
        <f t="shared" si="0"/>
        <v>250</v>
      </c>
      <c r="D38" s="8">
        <v>0</v>
      </c>
      <c r="E38" s="8">
        <v>0</v>
      </c>
      <c r="F38" s="8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0</v>
      </c>
      <c r="M38" s="8">
        <v>250</v>
      </c>
      <c r="N38" s="9">
        <v>0</v>
      </c>
      <c r="O38" s="9">
        <v>0</v>
      </c>
      <c r="P38" s="9">
        <v>0</v>
      </c>
    </row>
    <row r="39" spans="1:16" ht="15" customHeight="1" x14ac:dyDescent="0.2">
      <c r="A39" s="6">
        <v>30</v>
      </c>
      <c r="B39" s="6" t="s">
        <v>70</v>
      </c>
      <c r="C39" s="8">
        <f t="shared" si="0"/>
        <v>225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8">
        <v>225</v>
      </c>
      <c r="N39" s="9">
        <v>0</v>
      </c>
      <c r="O39" s="9">
        <v>0</v>
      </c>
      <c r="P39" s="9">
        <v>0</v>
      </c>
    </row>
    <row r="40" spans="1:16" ht="15" customHeight="1" x14ac:dyDescent="0.2">
      <c r="A40" s="6">
        <v>30</v>
      </c>
      <c r="B40" s="6" t="s">
        <v>51</v>
      </c>
      <c r="C40" s="8">
        <f t="shared" si="0"/>
        <v>225</v>
      </c>
      <c r="D40" s="8">
        <v>0</v>
      </c>
      <c r="E40" s="9">
        <v>225</v>
      </c>
      <c r="F40" s="8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</row>
    <row r="41" spans="1:16" ht="15" customHeight="1" x14ac:dyDescent="0.2">
      <c r="A41" s="6">
        <v>31</v>
      </c>
      <c r="B41" s="6" t="s">
        <v>67</v>
      </c>
      <c r="C41" s="8">
        <f t="shared" si="0"/>
        <v>225</v>
      </c>
      <c r="D41" s="8">
        <v>0</v>
      </c>
      <c r="E41" s="9">
        <v>0</v>
      </c>
      <c r="F41" s="9">
        <v>0</v>
      </c>
      <c r="G41" s="9">
        <v>0</v>
      </c>
      <c r="H41" s="9">
        <v>225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</row>
    <row r="42" spans="1:16" ht="15" customHeight="1" x14ac:dyDescent="0.2">
      <c r="A42" s="6">
        <v>32</v>
      </c>
      <c r="B42" s="6" t="s">
        <v>56</v>
      </c>
      <c r="C42" s="8">
        <f t="shared" si="0"/>
        <v>200</v>
      </c>
      <c r="D42" s="8">
        <v>0</v>
      </c>
      <c r="E42" s="9">
        <v>0</v>
      </c>
      <c r="F42" s="9">
        <v>200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</row>
    <row r="43" spans="1:16" ht="15" customHeight="1" x14ac:dyDescent="0.2">
      <c r="A43" s="10">
        <v>33</v>
      </c>
      <c r="B43" s="10" t="s">
        <v>71</v>
      </c>
      <c r="C43" s="11">
        <f t="shared" si="0"/>
        <v>145</v>
      </c>
      <c r="D43" s="11">
        <v>0</v>
      </c>
      <c r="E43" s="11">
        <v>0</v>
      </c>
      <c r="F43" s="11">
        <v>0</v>
      </c>
      <c r="G43" s="12">
        <v>0</v>
      </c>
      <c r="H43" s="12">
        <v>0</v>
      </c>
      <c r="I43" s="12">
        <v>0</v>
      </c>
      <c r="J43" s="12">
        <v>0</v>
      </c>
      <c r="K43" s="12">
        <v>0</v>
      </c>
      <c r="L43" s="12">
        <v>0</v>
      </c>
      <c r="M43" s="11">
        <v>0</v>
      </c>
      <c r="N43" s="11">
        <v>145</v>
      </c>
      <c r="O43" s="12">
        <v>0</v>
      </c>
      <c r="P43" s="12">
        <v>0</v>
      </c>
    </row>
    <row r="44" spans="1:16" ht="15" customHeight="1" x14ac:dyDescent="0.2">
      <c r="A44" s="10">
        <v>34</v>
      </c>
      <c r="B44" s="10" t="s">
        <v>66</v>
      </c>
      <c r="C44" s="11">
        <f t="shared" si="0"/>
        <v>130</v>
      </c>
      <c r="D44" s="11">
        <v>0</v>
      </c>
      <c r="E44" s="11">
        <v>0</v>
      </c>
      <c r="F44" s="11">
        <v>0</v>
      </c>
      <c r="G44" s="12">
        <v>0</v>
      </c>
      <c r="H44" s="12">
        <v>0</v>
      </c>
      <c r="I44" s="12">
        <v>0</v>
      </c>
      <c r="J44" s="12">
        <v>130</v>
      </c>
      <c r="K44" s="12">
        <v>0</v>
      </c>
      <c r="L44" s="12">
        <v>0</v>
      </c>
      <c r="M44" s="12">
        <v>0</v>
      </c>
      <c r="N44" s="12">
        <v>0</v>
      </c>
      <c r="O44" s="12">
        <v>0</v>
      </c>
      <c r="P44" s="12">
        <v>0</v>
      </c>
    </row>
    <row r="45" spans="1:16" ht="15" customHeight="1" x14ac:dyDescent="0.2">
      <c r="A45" s="10">
        <v>35</v>
      </c>
      <c r="B45" s="10" t="s">
        <v>18</v>
      </c>
      <c r="C45" s="11">
        <f t="shared" si="0"/>
        <v>115</v>
      </c>
      <c r="D45" s="11">
        <v>115</v>
      </c>
      <c r="E45" s="11">
        <v>0</v>
      </c>
      <c r="F45" s="11">
        <v>0</v>
      </c>
      <c r="G45" s="12">
        <v>0</v>
      </c>
      <c r="H45" s="12">
        <v>0</v>
      </c>
      <c r="I45" s="12">
        <v>0</v>
      </c>
      <c r="J45" s="12">
        <v>0</v>
      </c>
      <c r="K45" s="12">
        <v>0</v>
      </c>
      <c r="L45" s="12">
        <v>0</v>
      </c>
      <c r="M45" s="12">
        <v>0</v>
      </c>
      <c r="N45" s="12">
        <v>0</v>
      </c>
      <c r="O45" s="12">
        <v>0</v>
      </c>
      <c r="P45" s="12">
        <v>0</v>
      </c>
    </row>
    <row r="47" spans="1:16" ht="18.75" customHeight="1" x14ac:dyDescent="0.25">
      <c r="A47" s="48" t="s">
        <v>3</v>
      </c>
      <c r="B47" s="49"/>
      <c r="C47" s="49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</row>
    <row r="48" spans="1:16" ht="18.75" customHeight="1" x14ac:dyDescent="0.25">
      <c r="A48" s="50" t="s">
        <v>4</v>
      </c>
      <c r="B48" s="51"/>
      <c r="C48" s="51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</row>
    <row r="49" spans="1:16" ht="18.75" customHeight="1" x14ac:dyDescent="0.25">
      <c r="A49" s="52" t="s">
        <v>5</v>
      </c>
      <c r="B49" s="53"/>
      <c r="C49" s="53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</row>
  </sheetData>
  <mergeCells count="9">
    <mergeCell ref="A47:C47"/>
    <mergeCell ref="A48:C48"/>
    <mergeCell ref="A49:C49"/>
    <mergeCell ref="A1:P1"/>
    <mergeCell ref="A2:P2"/>
    <mergeCell ref="A3:P3"/>
    <mergeCell ref="A4:P4"/>
    <mergeCell ref="A5:P5"/>
    <mergeCell ref="A6:P6"/>
  </mergeCells>
  <pageMargins left="0.7" right="0.7" top="0.75" bottom="0.75" header="0.3" footer="0.3"/>
  <pageSetup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0"/>
  <sheetViews>
    <sheetView workbookViewId="0">
      <selection activeCell="C8" sqref="C8"/>
    </sheetView>
  </sheetViews>
  <sheetFormatPr defaultRowHeight="12.75" x14ac:dyDescent="0.2"/>
  <cols>
    <col min="1" max="1" width="8.5703125" customWidth="1"/>
    <col min="2" max="2" width="24.7109375" customWidth="1"/>
    <col min="3" max="3" width="10.42578125" customWidth="1"/>
    <col min="4" max="16" width="6.5703125" customWidth="1"/>
    <col min="17" max="17" width="8.7109375" customWidth="1"/>
  </cols>
  <sheetData>
    <row r="1" spans="1:16" ht="126" customHeight="1" x14ac:dyDescent="0.2">
      <c r="A1" s="36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</row>
    <row r="2" spans="1:16" ht="45" customHeight="1" x14ac:dyDescent="0.5">
      <c r="A2" s="54" t="s">
        <v>17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6" ht="33" customHeight="1" x14ac:dyDescent="0.4">
      <c r="A3" s="55" t="s">
        <v>43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</row>
    <row r="4" spans="1:16" ht="9.75" customHeight="1" x14ac:dyDescent="0.4">
      <c r="A4" s="55"/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56"/>
    </row>
    <row r="5" spans="1:16" ht="30" customHeight="1" x14ac:dyDescent="0.4">
      <c r="A5" s="57" t="s">
        <v>9</v>
      </c>
      <c r="B5" s="58"/>
      <c r="C5" s="58"/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  <c r="P5" s="58"/>
    </row>
    <row r="6" spans="1:16" ht="16.5" customHeight="1" x14ac:dyDescent="0.2">
      <c r="A6" s="38"/>
      <c r="B6" s="38"/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  <c r="P6" s="38"/>
    </row>
    <row r="7" spans="1:16" ht="15" customHeight="1" x14ac:dyDescent="0.25">
      <c r="A7" s="1" t="s">
        <v>1</v>
      </c>
      <c r="B7" s="1" t="s">
        <v>0</v>
      </c>
      <c r="C7" s="1" t="s">
        <v>2</v>
      </c>
      <c r="D7" s="2">
        <v>44276</v>
      </c>
      <c r="E7" s="2">
        <v>44283</v>
      </c>
      <c r="F7" s="2">
        <v>44297</v>
      </c>
      <c r="G7" s="2">
        <v>44304</v>
      </c>
      <c r="H7" s="2">
        <v>44311</v>
      </c>
      <c r="I7" s="2">
        <v>44318</v>
      </c>
      <c r="J7" s="2">
        <v>44325</v>
      </c>
      <c r="K7" s="2">
        <v>44332</v>
      </c>
      <c r="L7" s="2">
        <v>44339</v>
      </c>
      <c r="M7" s="2">
        <v>44346</v>
      </c>
      <c r="N7" s="2">
        <v>44353</v>
      </c>
      <c r="O7" s="2">
        <v>44360</v>
      </c>
      <c r="P7" s="2">
        <v>44367</v>
      </c>
    </row>
    <row r="8" spans="1:16" ht="15" customHeight="1" x14ac:dyDescent="0.2">
      <c r="A8" s="6">
        <v>1</v>
      </c>
      <c r="B8" s="6" t="s">
        <v>16</v>
      </c>
      <c r="C8" s="7">
        <f t="shared" ref="C8:C46" si="0">D8+E8+F8+G8+H8+I8+J8+K8+L8+M8+N8+O8+P8</f>
        <v>5725</v>
      </c>
      <c r="D8" s="8">
        <v>575</v>
      </c>
      <c r="E8" s="9">
        <v>475</v>
      </c>
      <c r="F8" s="9">
        <v>475</v>
      </c>
      <c r="G8" s="9">
        <v>575</v>
      </c>
      <c r="H8" s="9">
        <v>325</v>
      </c>
      <c r="I8" s="9">
        <v>575</v>
      </c>
      <c r="J8" s="8">
        <v>425</v>
      </c>
      <c r="K8" s="8">
        <v>350</v>
      </c>
      <c r="L8" s="8">
        <v>475</v>
      </c>
      <c r="M8" s="8">
        <v>350</v>
      </c>
      <c r="N8" s="8">
        <v>350</v>
      </c>
      <c r="O8" s="8">
        <v>425</v>
      </c>
      <c r="P8" s="8">
        <v>350</v>
      </c>
    </row>
    <row r="9" spans="1:16" ht="15" customHeight="1" x14ac:dyDescent="0.2">
      <c r="A9" s="6">
        <v>2</v>
      </c>
      <c r="B9" s="6" t="s">
        <v>11</v>
      </c>
      <c r="C9" s="7">
        <f t="shared" si="0"/>
        <v>4525</v>
      </c>
      <c r="D9" s="8">
        <v>325</v>
      </c>
      <c r="E9" s="9">
        <v>200</v>
      </c>
      <c r="F9" s="9">
        <v>350</v>
      </c>
      <c r="G9" s="9">
        <v>375</v>
      </c>
      <c r="H9" s="9">
        <v>300</v>
      </c>
      <c r="I9" s="9">
        <v>350</v>
      </c>
      <c r="J9" s="8">
        <v>375</v>
      </c>
      <c r="K9" s="8">
        <v>325</v>
      </c>
      <c r="L9" s="8">
        <v>350</v>
      </c>
      <c r="M9" s="8">
        <v>475</v>
      </c>
      <c r="N9" s="8">
        <v>375</v>
      </c>
      <c r="O9" s="8">
        <v>300</v>
      </c>
      <c r="P9" s="8">
        <v>425</v>
      </c>
    </row>
    <row r="10" spans="1:16" ht="15" customHeight="1" x14ac:dyDescent="0.2">
      <c r="A10" s="6">
        <v>3</v>
      </c>
      <c r="B10" s="6" t="s">
        <v>13</v>
      </c>
      <c r="C10" s="7">
        <f t="shared" si="0"/>
        <v>3150</v>
      </c>
      <c r="D10" s="8">
        <v>375</v>
      </c>
      <c r="E10" s="9">
        <v>275</v>
      </c>
      <c r="F10" s="9">
        <v>200</v>
      </c>
      <c r="G10" s="9">
        <v>425</v>
      </c>
      <c r="H10" s="9">
        <v>275</v>
      </c>
      <c r="I10" s="9">
        <v>275</v>
      </c>
      <c r="J10" s="8">
        <v>575</v>
      </c>
      <c r="K10" s="8">
        <v>425</v>
      </c>
      <c r="L10" s="8">
        <v>0</v>
      </c>
      <c r="M10" s="8">
        <v>0</v>
      </c>
      <c r="N10" s="8">
        <v>0</v>
      </c>
      <c r="O10" s="8">
        <v>0</v>
      </c>
      <c r="P10" s="8">
        <v>325</v>
      </c>
    </row>
    <row r="11" spans="1:16" ht="15" customHeight="1" x14ac:dyDescent="0.2">
      <c r="A11" s="6">
        <v>4</v>
      </c>
      <c r="B11" s="6" t="s">
        <v>19</v>
      </c>
      <c r="C11" s="7">
        <f t="shared" si="0"/>
        <v>2880</v>
      </c>
      <c r="D11" s="8">
        <v>275</v>
      </c>
      <c r="E11" s="9">
        <v>145</v>
      </c>
      <c r="F11" s="9">
        <v>0</v>
      </c>
      <c r="G11" s="9">
        <v>300</v>
      </c>
      <c r="H11" s="9">
        <v>0</v>
      </c>
      <c r="I11" s="9">
        <v>0</v>
      </c>
      <c r="J11" s="8">
        <v>325</v>
      </c>
      <c r="K11" s="8">
        <v>160</v>
      </c>
      <c r="L11" s="8">
        <v>325</v>
      </c>
      <c r="M11" s="8">
        <v>425</v>
      </c>
      <c r="N11" s="8">
        <v>300</v>
      </c>
      <c r="O11" s="8">
        <v>250</v>
      </c>
      <c r="P11" s="8">
        <v>375</v>
      </c>
    </row>
    <row r="12" spans="1:16" ht="15" customHeight="1" x14ac:dyDescent="0.2">
      <c r="A12" s="6">
        <v>5</v>
      </c>
      <c r="B12" s="6" t="s">
        <v>7</v>
      </c>
      <c r="C12" s="7">
        <f t="shared" si="0"/>
        <v>2650</v>
      </c>
      <c r="D12" s="8">
        <v>0</v>
      </c>
      <c r="E12" s="9">
        <v>225</v>
      </c>
      <c r="F12" s="9">
        <v>0</v>
      </c>
      <c r="G12" s="9">
        <v>0</v>
      </c>
      <c r="H12" s="9">
        <v>0</v>
      </c>
      <c r="I12" s="9">
        <v>425</v>
      </c>
      <c r="J12" s="9">
        <v>0</v>
      </c>
      <c r="K12" s="8">
        <v>575</v>
      </c>
      <c r="L12" s="8">
        <v>575</v>
      </c>
      <c r="M12" s="8">
        <v>0</v>
      </c>
      <c r="N12" s="8">
        <v>0</v>
      </c>
      <c r="O12" s="8">
        <v>375</v>
      </c>
      <c r="P12" s="8">
        <v>475</v>
      </c>
    </row>
    <row r="13" spans="1:16" ht="15" customHeight="1" x14ac:dyDescent="0.2">
      <c r="A13" s="6">
        <v>5</v>
      </c>
      <c r="B13" s="6" t="s">
        <v>18</v>
      </c>
      <c r="C13" s="7">
        <f t="shared" si="0"/>
        <v>2650</v>
      </c>
      <c r="D13" s="8">
        <v>300</v>
      </c>
      <c r="E13" s="9">
        <v>575</v>
      </c>
      <c r="F13" s="9">
        <v>275</v>
      </c>
      <c r="G13" s="9">
        <v>350</v>
      </c>
      <c r="H13" s="9">
        <v>250</v>
      </c>
      <c r="I13" s="9">
        <v>300</v>
      </c>
      <c r="J13" s="8">
        <v>350</v>
      </c>
      <c r="K13" s="8">
        <v>0</v>
      </c>
      <c r="L13" s="8">
        <v>0</v>
      </c>
      <c r="M13" s="8">
        <v>250</v>
      </c>
      <c r="N13" s="8">
        <v>0</v>
      </c>
      <c r="O13" s="8">
        <v>0</v>
      </c>
      <c r="P13" s="8">
        <v>0</v>
      </c>
    </row>
    <row r="14" spans="1:16" ht="15" customHeight="1" x14ac:dyDescent="0.2">
      <c r="A14" s="6">
        <v>6</v>
      </c>
      <c r="B14" s="6" t="s">
        <v>44</v>
      </c>
      <c r="C14" s="7">
        <f t="shared" si="0"/>
        <v>2120</v>
      </c>
      <c r="D14" s="8">
        <v>475</v>
      </c>
      <c r="E14" s="9">
        <v>175</v>
      </c>
      <c r="F14" s="9">
        <v>160</v>
      </c>
      <c r="G14" s="9">
        <v>0</v>
      </c>
      <c r="H14" s="9">
        <v>225</v>
      </c>
      <c r="I14" s="9">
        <v>160</v>
      </c>
      <c r="J14" s="9">
        <v>0</v>
      </c>
      <c r="K14" s="8">
        <v>250</v>
      </c>
      <c r="L14" s="8">
        <v>0</v>
      </c>
      <c r="M14" s="8">
        <v>325</v>
      </c>
      <c r="N14" s="8">
        <v>0</v>
      </c>
      <c r="O14" s="8">
        <v>350</v>
      </c>
      <c r="P14" s="8">
        <v>0</v>
      </c>
    </row>
    <row r="15" spans="1:16" ht="15" customHeight="1" x14ac:dyDescent="0.2">
      <c r="A15" s="6">
        <v>7</v>
      </c>
      <c r="B15" s="6" t="s">
        <v>14</v>
      </c>
      <c r="C15" s="7">
        <f t="shared" si="0"/>
        <v>2000</v>
      </c>
      <c r="D15" s="8">
        <v>0</v>
      </c>
      <c r="E15" s="9">
        <v>325</v>
      </c>
      <c r="F15" s="9">
        <v>0</v>
      </c>
      <c r="G15" s="9">
        <v>0</v>
      </c>
      <c r="H15" s="9">
        <v>375</v>
      </c>
      <c r="I15" s="9">
        <v>325</v>
      </c>
      <c r="J15" s="9">
        <v>0</v>
      </c>
      <c r="K15" s="8">
        <v>275</v>
      </c>
      <c r="L15" s="8">
        <v>375</v>
      </c>
      <c r="M15" s="8">
        <v>0</v>
      </c>
      <c r="N15" s="8">
        <v>0</v>
      </c>
      <c r="O15" s="8">
        <v>325</v>
      </c>
      <c r="P15" s="8">
        <v>0</v>
      </c>
    </row>
    <row r="16" spans="1:16" ht="15" customHeight="1" x14ac:dyDescent="0.2">
      <c r="A16" s="6">
        <v>8</v>
      </c>
      <c r="B16" s="6" t="s">
        <v>15</v>
      </c>
      <c r="C16" s="7">
        <f t="shared" si="0"/>
        <v>1975</v>
      </c>
      <c r="D16" s="8">
        <v>0</v>
      </c>
      <c r="E16" s="9">
        <v>300</v>
      </c>
      <c r="F16" s="9">
        <v>300</v>
      </c>
      <c r="G16" s="9">
        <v>475</v>
      </c>
      <c r="H16" s="9">
        <v>425</v>
      </c>
      <c r="I16" s="9">
        <v>475</v>
      </c>
      <c r="J16" s="9">
        <v>0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>
        <v>0</v>
      </c>
    </row>
    <row r="17" spans="1:16" ht="15" customHeight="1" x14ac:dyDescent="0.2">
      <c r="A17" s="6">
        <v>9</v>
      </c>
      <c r="B17" s="6" t="s">
        <v>30</v>
      </c>
      <c r="C17" s="7">
        <f t="shared" si="0"/>
        <v>1675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250</v>
      </c>
      <c r="J17" s="9">
        <v>0</v>
      </c>
      <c r="K17" s="8">
        <v>0</v>
      </c>
      <c r="L17" s="8">
        <v>425</v>
      </c>
      <c r="M17" s="8">
        <v>0</v>
      </c>
      <c r="N17" s="8">
        <v>425</v>
      </c>
      <c r="O17" s="8">
        <v>575</v>
      </c>
      <c r="P17" s="8">
        <v>0</v>
      </c>
    </row>
    <row r="18" spans="1:16" ht="15" customHeight="1" x14ac:dyDescent="0.2">
      <c r="A18" s="6">
        <v>10</v>
      </c>
      <c r="B18" s="6" t="s">
        <v>23</v>
      </c>
      <c r="C18" s="7">
        <f t="shared" si="0"/>
        <v>1325</v>
      </c>
      <c r="D18" s="8">
        <v>0</v>
      </c>
      <c r="E18" s="9">
        <v>0</v>
      </c>
      <c r="F18" s="9">
        <v>425</v>
      </c>
      <c r="G18" s="9">
        <v>0</v>
      </c>
      <c r="H18" s="9">
        <v>575</v>
      </c>
      <c r="I18" s="9">
        <v>0</v>
      </c>
      <c r="J18" s="9">
        <v>0</v>
      </c>
      <c r="K18" s="8">
        <v>0</v>
      </c>
      <c r="L18" s="8">
        <v>0</v>
      </c>
      <c r="M18" s="8">
        <v>0</v>
      </c>
      <c r="N18" s="8">
        <v>325</v>
      </c>
      <c r="O18" s="8">
        <v>0</v>
      </c>
      <c r="P18" s="8">
        <v>0</v>
      </c>
    </row>
    <row r="19" spans="1:16" ht="15" customHeight="1" x14ac:dyDescent="0.2">
      <c r="A19" s="6">
        <v>11</v>
      </c>
      <c r="B19" s="6" t="s">
        <v>22</v>
      </c>
      <c r="C19" s="8">
        <f t="shared" si="0"/>
        <v>1300</v>
      </c>
      <c r="D19" s="8">
        <v>0</v>
      </c>
      <c r="E19" s="9">
        <v>250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475</v>
      </c>
      <c r="L19" s="8">
        <v>0</v>
      </c>
      <c r="M19" s="8">
        <v>0</v>
      </c>
      <c r="N19" s="8">
        <v>0</v>
      </c>
      <c r="O19" s="8">
        <v>0</v>
      </c>
      <c r="P19" s="8">
        <v>575</v>
      </c>
    </row>
    <row r="20" spans="1:16" ht="15" customHeight="1" x14ac:dyDescent="0.2">
      <c r="A20" s="6">
        <v>12</v>
      </c>
      <c r="B20" s="6" t="s">
        <v>38</v>
      </c>
      <c r="C20" s="8">
        <f t="shared" si="0"/>
        <v>1050</v>
      </c>
      <c r="D20" s="8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8">
        <v>0</v>
      </c>
      <c r="L20" s="8">
        <v>0</v>
      </c>
      <c r="M20" s="8">
        <v>575</v>
      </c>
      <c r="N20" s="8">
        <v>0</v>
      </c>
      <c r="O20" s="8">
        <v>475</v>
      </c>
      <c r="P20" s="8">
        <v>0</v>
      </c>
    </row>
    <row r="21" spans="1:16" ht="15" customHeight="1" x14ac:dyDescent="0.2">
      <c r="A21" s="6">
        <v>13</v>
      </c>
      <c r="B21" s="6" t="s">
        <v>8</v>
      </c>
      <c r="C21" s="8">
        <f t="shared" si="0"/>
        <v>1000</v>
      </c>
      <c r="D21" s="8">
        <v>425</v>
      </c>
      <c r="E21" s="9">
        <v>0</v>
      </c>
      <c r="F21" s="9">
        <v>575</v>
      </c>
      <c r="G21" s="9">
        <v>0</v>
      </c>
      <c r="H21" s="9">
        <v>0</v>
      </c>
      <c r="I21" s="9">
        <v>0</v>
      </c>
      <c r="J21" s="9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6" ht="15" customHeight="1" x14ac:dyDescent="0.2">
      <c r="A22" s="6">
        <v>14</v>
      </c>
      <c r="B22" s="6" t="s">
        <v>24</v>
      </c>
      <c r="C22" s="8">
        <f t="shared" si="0"/>
        <v>985</v>
      </c>
      <c r="D22" s="8">
        <v>0</v>
      </c>
      <c r="E22" s="9">
        <v>160</v>
      </c>
      <c r="F22" s="9">
        <v>250</v>
      </c>
      <c r="G22" s="9">
        <v>0</v>
      </c>
      <c r="H22" s="9">
        <v>0</v>
      </c>
      <c r="I22" s="9">
        <v>0</v>
      </c>
      <c r="J22" s="9">
        <v>0</v>
      </c>
      <c r="K22" s="8">
        <v>0</v>
      </c>
      <c r="L22" s="8">
        <v>0</v>
      </c>
      <c r="M22" s="8">
        <v>0</v>
      </c>
      <c r="N22" s="8">
        <v>575</v>
      </c>
      <c r="O22" s="8">
        <v>0</v>
      </c>
      <c r="P22" s="8">
        <v>0</v>
      </c>
    </row>
    <row r="23" spans="1:16" ht="15" customHeight="1" x14ac:dyDescent="0.2">
      <c r="A23" s="6">
        <v>15</v>
      </c>
      <c r="B23" s="6" t="s">
        <v>39</v>
      </c>
      <c r="C23" s="8">
        <f t="shared" si="0"/>
        <v>900</v>
      </c>
      <c r="D23" s="8">
        <v>0</v>
      </c>
      <c r="E23" s="9">
        <v>0</v>
      </c>
      <c r="F23" s="9">
        <v>175</v>
      </c>
      <c r="G23" s="9">
        <v>0</v>
      </c>
      <c r="H23" s="9">
        <v>350</v>
      </c>
      <c r="I23" s="9">
        <v>0</v>
      </c>
      <c r="J23" s="9">
        <v>0</v>
      </c>
      <c r="K23" s="8">
        <v>0</v>
      </c>
      <c r="L23" s="8">
        <v>0</v>
      </c>
      <c r="M23" s="8">
        <v>375</v>
      </c>
      <c r="N23" s="8">
        <v>0</v>
      </c>
      <c r="O23" s="8">
        <v>0</v>
      </c>
      <c r="P23" s="8">
        <v>0</v>
      </c>
    </row>
    <row r="24" spans="1:16" ht="15" customHeight="1" x14ac:dyDescent="0.2">
      <c r="A24" s="6">
        <v>16</v>
      </c>
      <c r="B24" s="6" t="s">
        <v>12</v>
      </c>
      <c r="C24" s="8">
        <f t="shared" si="0"/>
        <v>725</v>
      </c>
      <c r="D24" s="8">
        <v>350</v>
      </c>
      <c r="E24" s="9">
        <v>0</v>
      </c>
      <c r="F24" s="9">
        <v>375</v>
      </c>
      <c r="G24" s="9">
        <v>0</v>
      </c>
      <c r="H24" s="9">
        <v>0</v>
      </c>
      <c r="I24" s="9">
        <v>0</v>
      </c>
      <c r="J24" s="9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</row>
    <row r="25" spans="1:16" ht="15" customHeight="1" x14ac:dyDescent="0.2">
      <c r="A25" s="6">
        <v>17</v>
      </c>
      <c r="B25" s="6" t="s">
        <v>10</v>
      </c>
      <c r="C25" s="8">
        <f t="shared" si="0"/>
        <v>700</v>
      </c>
      <c r="D25" s="8">
        <v>0</v>
      </c>
      <c r="E25" s="9">
        <v>375</v>
      </c>
      <c r="F25" s="9">
        <v>325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6" ht="15" customHeight="1" x14ac:dyDescent="0.2">
      <c r="A26" s="6">
        <v>18</v>
      </c>
      <c r="B26" s="6" t="s">
        <v>29</v>
      </c>
      <c r="C26" s="8">
        <f t="shared" si="0"/>
        <v>575</v>
      </c>
      <c r="D26" s="8">
        <v>0</v>
      </c>
      <c r="E26" s="9">
        <v>0</v>
      </c>
      <c r="F26" s="9">
        <v>0</v>
      </c>
      <c r="G26" s="9">
        <v>0</v>
      </c>
      <c r="H26" s="9">
        <v>0</v>
      </c>
      <c r="I26" s="9">
        <v>375</v>
      </c>
      <c r="J26" s="8">
        <v>0</v>
      </c>
      <c r="K26" s="8">
        <v>200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</row>
    <row r="27" spans="1:16" ht="15" customHeight="1" x14ac:dyDescent="0.2">
      <c r="A27" s="6">
        <v>19</v>
      </c>
      <c r="B27" s="6" t="s">
        <v>21</v>
      </c>
      <c r="C27" s="8">
        <f t="shared" si="0"/>
        <v>525</v>
      </c>
      <c r="D27" s="8">
        <v>0</v>
      </c>
      <c r="E27" s="9">
        <v>350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8">
        <v>175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6" ht="15" customHeight="1" x14ac:dyDescent="0.2">
      <c r="A28" s="6">
        <v>20</v>
      </c>
      <c r="B28" s="6" t="s">
        <v>46</v>
      </c>
      <c r="C28" s="8">
        <f t="shared" si="0"/>
        <v>475</v>
      </c>
      <c r="D28" s="8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8">
        <v>0</v>
      </c>
      <c r="L28" s="8">
        <v>0</v>
      </c>
      <c r="M28" s="8">
        <v>0</v>
      </c>
      <c r="N28" s="8">
        <v>475</v>
      </c>
      <c r="O28" s="8">
        <v>0</v>
      </c>
      <c r="P28" s="8">
        <v>0</v>
      </c>
    </row>
    <row r="29" spans="1:16" ht="15" customHeight="1" x14ac:dyDescent="0.2">
      <c r="A29" s="6">
        <v>20</v>
      </c>
      <c r="B29" s="6" t="s">
        <v>27</v>
      </c>
      <c r="C29" s="8">
        <f t="shared" si="0"/>
        <v>475</v>
      </c>
      <c r="D29" s="8">
        <v>0</v>
      </c>
      <c r="E29" s="9">
        <v>0</v>
      </c>
      <c r="F29" s="9">
        <v>0</v>
      </c>
      <c r="G29" s="9">
        <v>0</v>
      </c>
      <c r="H29" s="9">
        <v>475</v>
      </c>
      <c r="I29" s="9">
        <v>0</v>
      </c>
      <c r="J29" s="9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6" ht="15" customHeight="1" x14ac:dyDescent="0.2">
      <c r="A30" s="6">
        <v>20</v>
      </c>
      <c r="B30" s="6" t="s">
        <v>28</v>
      </c>
      <c r="C30" s="8">
        <f t="shared" si="0"/>
        <v>475</v>
      </c>
      <c r="D30" s="8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8">
        <v>475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</row>
    <row r="31" spans="1:16" ht="15" customHeight="1" x14ac:dyDescent="0.2">
      <c r="A31" s="6">
        <v>20</v>
      </c>
      <c r="B31" s="6" t="s">
        <v>33</v>
      </c>
      <c r="C31" s="8">
        <f t="shared" si="0"/>
        <v>475</v>
      </c>
      <c r="D31" s="8">
        <v>0</v>
      </c>
      <c r="E31" s="9">
        <v>0</v>
      </c>
      <c r="F31" s="9">
        <v>0</v>
      </c>
      <c r="G31" s="9">
        <v>0</v>
      </c>
      <c r="H31" s="9">
        <v>0</v>
      </c>
      <c r="I31" s="9">
        <v>175</v>
      </c>
      <c r="J31" s="8">
        <v>0</v>
      </c>
      <c r="K31" s="8">
        <v>300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6" ht="15" customHeight="1" x14ac:dyDescent="0.2">
      <c r="A32" s="6">
        <v>21</v>
      </c>
      <c r="B32" s="6" t="s">
        <v>20</v>
      </c>
      <c r="C32" s="8">
        <f t="shared" si="0"/>
        <v>425</v>
      </c>
      <c r="D32" s="8">
        <v>0</v>
      </c>
      <c r="E32" s="9">
        <v>425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</row>
    <row r="33" spans="1:16" ht="15" customHeight="1" x14ac:dyDescent="0.2">
      <c r="A33" s="6">
        <v>22</v>
      </c>
      <c r="B33" s="6" t="s">
        <v>35</v>
      </c>
      <c r="C33" s="8">
        <f t="shared" si="0"/>
        <v>375</v>
      </c>
      <c r="D33" s="8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375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6" ht="15" customHeight="1" x14ac:dyDescent="0.2">
      <c r="A34" s="6">
        <v>23</v>
      </c>
      <c r="B34" s="6" t="s">
        <v>26</v>
      </c>
      <c r="C34" s="8">
        <f t="shared" si="0"/>
        <v>325</v>
      </c>
      <c r="D34" s="8">
        <v>0</v>
      </c>
      <c r="E34" s="9">
        <v>0</v>
      </c>
      <c r="F34" s="9">
        <v>0</v>
      </c>
      <c r="G34" s="9">
        <v>325</v>
      </c>
      <c r="H34" s="9">
        <v>0</v>
      </c>
      <c r="I34" s="9">
        <v>0</v>
      </c>
      <c r="J34" s="9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</row>
    <row r="35" spans="1:16" ht="15" customHeight="1" x14ac:dyDescent="0.2">
      <c r="A35" s="6">
        <v>24</v>
      </c>
      <c r="B35" s="6" t="s">
        <v>41</v>
      </c>
      <c r="C35" s="8">
        <f t="shared" si="0"/>
        <v>300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300</v>
      </c>
      <c r="N35" s="8">
        <v>0</v>
      </c>
      <c r="O35" s="8">
        <v>0</v>
      </c>
      <c r="P35" s="8">
        <v>0</v>
      </c>
    </row>
    <row r="36" spans="1:16" ht="15" customHeight="1" x14ac:dyDescent="0.2">
      <c r="A36" s="6">
        <v>24</v>
      </c>
      <c r="B36" s="6" t="s">
        <v>47</v>
      </c>
      <c r="C36" s="8">
        <f t="shared" si="0"/>
        <v>300</v>
      </c>
      <c r="D36" s="8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300</v>
      </c>
    </row>
    <row r="37" spans="1:16" ht="15" customHeight="1" x14ac:dyDescent="0.2">
      <c r="A37" s="6">
        <v>24</v>
      </c>
      <c r="B37" s="6" t="s">
        <v>37</v>
      </c>
      <c r="C37" s="8">
        <f t="shared" si="0"/>
        <v>300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8">
        <v>300</v>
      </c>
      <c r="M37" s="8">
        <v>0</v>
      </c>
      <c r="N37" s="8">
        <v>0</v>
      </c>
      <c r="O37" s="8">
        <v>0</v>
      </c>
      <c r="P37" s="8">
        <v>0</v>
      </c>
    </row>
    <row r="38" spans="1:16" ht="15" customHeight="1" x14ac:dyDescent="0.2">
      <c r="A38" s="6">
        <v>25</v>
      </c>
      <c r="B38" s="6" t="s">
        <v>45</v>
      </c>
      <c r="C38" s="8">
        <f t="shared" si="0"/>
        <v>275</v>
      </c>
      <c r="D38" s="8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8">
        <v>0</v>
      </c>
      <c r="L38" s="8">
        <v>0</v>
      </c>
      <c r="M38" s="8">
        <v>0</v>
      </c>
      <c r="N38" s="8">
        <v>0</v>
      </c>
      <c r="O38" s="8">
        <v>275</v>
      </c>
      <c r="P38" s="8">
        <v>0</v>
      </c>
    </row>
    <row r="39" spans="1:16" ht="15" customHeight="1" x14ac:dyDescent="0.2">
      <c r="A39" s="6">
        <v>25</v>
      </c>
      <c r="B39" s="6" t="s">
        <v>40</v>
      </c>
      <c r="C39" s="8">
        <f t="shared" si="0"/>
        <v>275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8">
        <v>0</v>
      </c>
      <c r="M39" s="8">
        <v>275</v>
      </c>
      <c r="N39" s="8">
        <v>0</v>
      </c>
      <c r="O39" s="8">
        <v>0</v>
      </c>
      <c r="P39" s="8">
        <v>0</v>
      </c>
    </row>
    <row r="40" spans="1:16" ht="15" customHeight="1" x14ac:dyDescent="0.2">
      <c r="A40" s="6">
        <v>26</v>
      </c>
      <c r="B40" s="6" t="s">
        <v>36</v>
      </c>
      <c r="C40" s="8">
        <f t="shared" si="0"/>
        <v>225</v>
      </c>
      <c r="D40" s="8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8">
        <v>225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</row>
    <row r="41" spans="1:16" ht="15" customHeight="1" x14ac:dyDescent="0.2">
      <c r="A41" s="6">
        <v>26</v>
      </c>
      <c r="B41" s="6" t="s">
        <v>42</v>
      </c>
      <c r="C41" s="8">
        <f t="shared" si="0"/>
        <v>225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8">
        <v>0</v>
      </c>
      <c r="M41" s="8">
        <v>225</v>
      </c>
      <c r="N41" s="8">
        <v>0</v>
      </c>
      <c r="O41" s="8">
        <v>0</v>
      </c>
      <c r="P41" s="8">
        <v>0</v>
      </c>
    </row>
    <row r="42" spans="1:16" ht="15" customHeight="1" x14ac:dyDescent="0.2">
      <c r="A42" s="6">
        <v>26</v>
      </c>
      <c r="B42" s="6" t="s">
        <v>25</v>
      </c>
      <c r="C42" s="8">
        <f t="shared" si="0"/>
        <v>225</v>
      </c>
      <c r="D42" s="8">
        <v>0</v>
      </c>
      <c r="E42" s="9">
        <v>0</v>
      </c>
      <c r="F42" s="9">
        <v>225</v>
      </c>
      <c r="G42" s="9">
        <v>0</v>
      </c>
      <c r="H42" s="9">
        <v>0</v>
      </c>
      <c r="I42" s="9">
        <v>0</v>
      </c>
      <c r="J42" s="9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</row>
    <row r="43" spans="1:16" ht="15" customHeight="1" x14ac:dyDescent="0.2">
      <c r="A43" s="6">
        <v>26</v>
      </c>
      <c r="B43" s="6" t="s">
        <v>31</v>
      </c>
      <c r="C43" s="8">
        <f t="shared" si="0"/>
        <v>225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225</v>
      </c>
      <c r="J43" s="9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6" ht="15" customHeight="1" x14ac:dyDescent="0.2">
      <c r="A44" s="6">
        <v>26</v>
      </c>
      <c r="B44" s="6" t="s">
        <v>32</v>
      </c>
      <c r="C44" s="8">
        <f t="shared" si="0"/>
        <v>200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200</v>
      </c>
      <c r="J44" s="9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</row>
    <row r="45" spans="1:16" ht="15" customHeight="1" x14ac:dyDescent="0.2">
      <c r="A45" s="6">
        <v>27</v>
      </c>
      <c r="B45" s="6" t="s">
        <v>34</v>
      </c>
      <c r="C45" s="8">
        <f t="shared" si="0"/>
        <v>145</v>
      </c>
      <c r="D45" s="8">
        <v>0</v>
      </c>
      <c r="E45" s="9">
        <v>0</v>
      </c>
      <c r="F45" s="9">
        <v>0</v>
      </c>
      <c r="G45" s="9">
        <v>0</v>
      </c>
      <c r="H45" s="9">
        <v>0</v>
      </c>
      <c r="I45" s="9">
        <v>145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6" ht="15" customHeight="1" x14ac:dyDescent="0.2">
      <c r="A46" s="6">
        <v>28</v>
      </c>
      <c r="B46" s="6" t="s">
        <v>6</v>
      </c>
      <c r="C46" s="8">
        <f t="shared" si="0"/>
        <v>130</v>
      </c>
      <c r="D46" s="8">
        <v>0</v>
      </c>
      <c r="E46" s="9">
        <v>130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</row>
    <row r="48" spans="1:16" ht="18.75" customHeight="1" x14ac:dyDescent="0.25">
      <c r="A48" s="48" t="s">
        <v>3</v>
      </c>
      <c r="B48" s="49"/>
      <c r="C48" s="49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</row>
    <row r="49" spans="1:16" ht="18.75" customHeight="1" x14ac:dyDescent="0.25">
      <c r="A49" s="50" t="s">
        <v>4</v>
      </c>
      <c r="B49" s="51"/>
      <c r="C49" s="51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</row>
    <row r="50" spans="1:16" ht="18.75" customHeight="1" x14ac:dyDescent="0.25">
      <c r="A50" s="52" t="s">
        <v>5</v>
      </c>
      <c r="B50" s="53"/>
      <c r="C50" s="53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</row>
  </sheetData>
  <mergeCells count="9">
    <mergeCell ref="A48:C48"/>
    <mergeCell ref="A49:C49"/>
    <mergeCell ref="A50:C50"/>
    <mergeCell ref="A1:P1"/>
    <mergeCell ref="A2:P2"/>
    <mergeCell ref="A3:P3"/>
    <mergeCell ref="A4:P4"/>
    <mergeCell ref="A5:P5"/>
    <mergeCell ref="A6:P6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2"/>
  <sheetViews>
    <sheetView workbookViewId="0">
      <selection activeCell="B62" sqref="B62"/>
    </sheetView>
  </sheetViews>
  <sheetFormatPr defaultRowHeight="12.75" x14ac:dyDescent="0.2"/>
  <cols>
    <col min="1" max="1" width="6.85546875" customWidth="1"/>
    <col min="2" max="2" width="18.85546875" customWidth="1"/>
    <col min="3" max="3" width="8.140625" customWidth="1"/>
    <col min="4" max="6" width="5.28515625" customWidth="1"/>
    <col min="7" max="7" width="6.85546875" customWidth="1"/>
    <col min="8" max="8" width="7.28515625" customWidth="1"/>
    <col min="9" max="16" width="8.7109375" customWidth="1"/>
  </cols>
  <sheetData>
    <row r="1" spans="1:15" ht="126" customHeight="1" x14ac:dyDescent="0.2">
      <c r="A1" s="36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</row>
    <row r="2" spans="1:15" ht="45" customHeight="1" x14ac:dyDescent="0.5">
      <c r="A2" s="54" t="s">
        <v>247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</row>
    <row r="3" spans="1:15" ht="40.5" customHeight="1" x14ac:dyDescent="0.4">
      <c r="A3" s="55" t="s">
        <v>326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</row>
    <row r="4" spans="1:15" ht="9.75" customHeight="1" x14ac:dyDescent="0.4">
      <c r="A4" s="55"/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</row>
    <row r="5" spans="1:15" ht="30" customHeight="1" x14ac:dyDescent="0.4">
      <c r="A5" s="57" t="s">
        <v>278</v>
      </c>
      <c r="B5" s="58"/>
      <c r="C5" s="58"/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</row>
    <row r="6" spans="1:15" ht="16.5" customHeight="1" x14ac:dyDescent="0.2">
      <c r="A6" s="38"/>
      <c r="B6" s="38"/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</row>
    <row r="7" spans="1:15" ht="15" customHeight="1" x14ac:dyDescent="0.2">
      <c r="A7" s="17" t="s">
        <v>1</v>
      </c>
      <c r="B7" s="17" t="s">
        <v>0</v>
      </c>
      <c r="C7" s="17" t="s">
        <v>2</v>
      </c>
      <c r="D7" s="18">
        <v>45823</v>
      </c>
      <c r="E7" s="18">
        <v>45830</v>
      </c>
      <c r="F7" s="18">
        <v>45837</v>
      </c>
      <c r="G7" s="18" t="s">
        <v>270</v>
      </c>
      <c r="H7" s="18" t="s">
        <v>271</v>
      </c>
      <c r="I7" s="18" t="s">
        <v>272</v>
      </c>
      <c r="J7" s="18" t="s">
        <v>273</v>
      </c>
      <c r="K7" s="18" t="s">
        <v>274</v>
      </c>
      <c r="L7" s="18" t="s">
        <v>275</v>
      </c>
      <c r="M7" s="18" t="s">
        <v>276</v>
      </c>
      <c r="N7" s="18" t="s">
        <v>277</v>
      </c>
      <c r="O7" s="18" t="s">
        <v>327</v>
      </c>
    </row>
    <row r="8" spans="1:15" ht="15" customHeight="1" x14ac:dyDescent="0.2">
      <c r="A8" s="20">
        <v>1</v>
      </c>
      <c r="B8" s="20" t="s">
        <v>248</v>
      </c>
      <c r="C8" s="22">
        <f t="shared" ref="C8:C39" si="0">SUM(D8:O8)</f>
        <v>6650</v>
      </c>
      <c r="D8" s="21">
        <v>475</v>
      </c>
      <c r="E8" s="21">
        <v>475</v>
      </c>
      <c r="F8" s="21">
        <v>0</v>
      </c>
      <c r="G8" s="21">
        <f>250</f>
        <v>250</v>
      </c>
      <c r="H8" s="21">
        <f>300+300</f>
        <v>600</v>
      </c>
      <c r="I8" s="21">
        <f>325</f>
        <v>325</v>
      </c>
      <c r="J8" s="21">
        <f>375+225</f>
        <v>600</v>
      </c>
      <c r="K8" s="21">
        <f>425+350</f>
        <v>775</v>
      </c>
      <c r="L8" s="21">
        <f>175+300</f>
        <v>475</v>
      </c>
      <c r="M8" s="21">
        <f>325+425</f>
        <v>750</v>
      </c>
      <c r="N8" s="21">
        <f>425+375</f>
        <v>800</v>
      </c>
      <c r="O8" s="21">
        <f>475+300+350</f>
        <v>1125</v>
      </c>
    </row>
    <row r="9" spans="1:15" ht="15" customHeight="1" x14ac:dyDescent="0.2">
      <c r="A9" s="20">
        <v>2</v>
      </c>
      <c r="B9" s="20" t="s">
        <v>229</v>
      </c>
      <c r="C9" s="22">
        <f t="shared" si="0"/>
        <v>6300</v>
      </c>
      <c r="D9" s="21">
        <v>375</v>
      </c>
      <c r="E9" s="21">
        <v>375</v>
      </c>
      <c r="F9" s="21">
        <v>425</v>
      </c>
      <c r="G9" s="21">
        <v>275</v>
      </c>
      <c r="H9" s="21">
        <f>475+225</f>
        <v>700</v>
      </c>
      <c r="I9" s="21">
        <f>225+575</f>
        <v>800</v>
      </c>
      <c r="J9" s="21">
        <v>0</v>
      </c>
      <c r="K9" s="21">
        <v>575</v>
      </c>
      <c r="L9" s="21">
        <f>575+475+145</f>
        <v>1195</v>
      </c>
      <c r="M9" s="21">
        <f>145+375</f>
        <v>520</v>
      </c>
      <c r="N9" s="21">
        <f>375+160</f>
        <v>535</v>
      </c>
      <c r="O9" s="21">
        <f>225+300</f>
        <v>525</v>
      </c>
    </row>
    <row r="10" spans="1:15" ht="15" customHeight="1" x14ac:dyDescent="0.2">
      <c r="A10" s="20">
        <v>3</v>
      </c>
      <c r="B10" s="20" t="s">
        <v>244</v>
      </c>
      <c r="C10" s="22">
        <f t="shared" si="0"/>
        <v>4660</v>
      </c>
      <c r="D10" s="21">
        <v>425</v>
      </c>
      <c r="E10" s="21">
        <v>0</v>
      </c>
      <c r="F10" s="21">
        <v>0</v>
      </c>
      <c r="G10" s="21">
        <v>575</v>
      </c>
      <c r="H10" s="21">
        <f>325+160</f>
        <v>485</v>
      </c>
      <c r="I10" s="21">
        <f>115+250</f>
        <v>365</v>
      </c>
      <c r="J10" s="21">
        <f>250</f>
        <v>250</v>
      </c>
      <c r="K10" s="21">
        <f>160+250</f>
        <v>410</v>
      </c>
      <c r="L10" s="21">
        <f>250+375+475</f>
        <v>1100</v>
      </c>
      <c r="M10" s="21">
        <v>0</v>
      </c>
      <c r="N10" s="21">
        <f>175+200</f>
        <v>375</v>
      </c>
      <c r="O10" s="21">
        <f>425+250</f>
        <v>675</v>
      </c>
    </row>
    <row r="11" spans="1:15" ht="15" customHeight="1" x14ac:dyDescent="0.2">
      <c r="A11" s="20">
        <v>4</v>
      </c>
      <c r="B11" s="20" t="s">
        <v>266</v>
      </c>
      <c r="C11" s="22">
        <f t="shared" si="0"/>
        <v>4630</v>
      </c>
      <c r="D11" s="21">
        <v>0</v>
      </c>
      <c r="E11" s="21">
        <v>0</v>
      </c>
      <c r="F11" s="21">
        <v>160</v>
      </c>
      <c r="G11" s="21">
        <v>145</v>
      </c>
      <c r="H11" s="21">
        <f>275+425</f>
        <v>700</v>
      </c>
      <c r="I11" s="21">
        <v>375</v>
      </c>
      <c r="J11" s="21">
        <f>475+325</f>
        <v>800</v>
      </c>
      <c r="K11" s="21">
        <f>175+375</f>
        <v>550</v>
      </c>
      <c r="L11" s="21">
        <f>350+200+225</f>
        <v>775</v>
      </c>
      <c r="M11" s="21">
        <v>300</v>
      </c>
      <c r="N11" s="21">
        <f>575</f>
        <v>575</v>
      </c>
      <c r="O11" s="21">
        <f>250</f>
        <v>250</v>
      </c>
    </row>
    <row r="12" spans="1:15" ht="15" customHeight="1" x14ac:dyDescent="0.2">
      <c r="A12" s="20">
        <v>5</v>
      </c>
      <c r="B12" s="20" t="s">
        <v>297</v>
      </c>
      <c r="C12" s="22">
        <f t="shared" si="0"/>
        <v>4525</v>
      </c>
      <c r="D12" s="21">
        <v>0</v>
      </c>
      <c r="E12" s="21">
        <v>0</v>
      </c>
      <c r="F12" s="21">
        <v>0</v>
      </c>
      <c r="G12" s="21">
        <v>0</v>
      </c>
      <c r="H12" s="21">
        <v>0</v>
      </c>
      <c r="I12" s="21">
        <f>250+475</f>
        <v>725</v>
      </c>
      <c r="J12" s="21">
        <f>425+250</f>
        <v>675</v>
      </c>
      <c r="K12" s="21">
        <f>325+175</f>
        <v>500</v>
      </c>
      <c r="L12" s="21">
        <f>300+175+300</f>
        <v>775</v>
      </c>
      <c r="M12" s="21">
        <f>200+175</f>
        <v>375</v>
      </c>
      <c r="N12" s="21">
        <f>300+475</f>
        <v>775</v>
      </c>
      <c r="O12" s="21">
        <f>325+375</f>
        <v>700</v>
      </c>
    </row>
    <row r="13" spans="1:15" ht="15" customHeight="1" x14ac:dyDescent="0.2">
      <c r="A13" s="20">
        <v>6</v>
      </c>
      <c r="B13" s="20" t="s">
        <v>249</v>
      </c>
      <c r="C13" s="22">
        <f t="shared" si="0"/>
        <v>4375</v>
      </c>
      <c r="D13" s="21">
        <v>575</v>
      </c>
      <c r="E13" s="21">
        <v>325</v>
      </c>
      <c r="F13" s="21">
        <v>0</v>
      </c>
      <c r="G13" s="21">
        <f>145+160</f>
        <v>305</v>
      </c>
      <c r="H13" s="21">
        <v>115</v>
      </c>
      <c r="I13" s="21">
        <f>475</f>
        <v>475</v>
      </c>
      <c r="J13" s="21">
        <f>145+200</f>
        <v>345</v>
      </c>
      <c r="K13" s="21">
        <f>200+130</f>
        <v>330</v>
      </c>
      <c r="L13" s="21">
        <v>0</v>
      </c>
      <c r="M13" s="21">
        <f>130+225</f>
        <v>355</v>
      </c>
      <c r="N13" s="21">
        <f>275+425</f>
        <v>700</v>
      </c>
      <c r="O13" s="21">
        <f>275+575</f>
        <v>850</v>
      </c>
    </row>
    <row r="14" spans="1:15" ht="15" customHeight="1" x14ac:dyDescent="0.2">
      <c r="A14" s="20">
        <v>7</v>
      </c>
      <c r="B14" s="20" t="s">
        <v>296</v>
      </c>
      <c r="C14" s="22">
        <f t="shared" si="0"/>
        <v>4290</v>
      </c>
      <c r="D14" s="21">
        <v>0</v>
      </c>
      <c r="E14" s="21">
        <v>0</v>
      </c>
      <c r="F14" s="21">
        <v>0</v>
      </c>
      <c r="G14" s="21">
        <v>0</v>
      </c>
      <c r="H14" s="21">
        <v>0</v>
      </c>
      <c r="I14" s="21">
        <f>275+200</f>
        <v>475</v>
      </c>
      <c r="J14" s="21">
        <f>325+300</f>
        <v>625</v>
      </c>
      <c r="K14" s="21">
        <v>325</v>
      </c>
      <c r="L14" s="21">
        <f>115+275+575</f>
        <v>965</v>
      </c>
      <c r="M14" s="21">
        <f>475+130</f>
        <v>605</v>
      </c>
      <c r="N14" s="21">
        <f>145</f>
        <v>145</v>
      </c>
      <c r="O14" s="21">
        <f>300+275+575</f>
        <v>1150</v>
      </c>
    </row>
    <row r="15" spans="1:15" ht="15" customHeight="1" x14ac:dyDescent="0.2">
      <c r="A15" s="20">
        <v>8</v>
      </c>
      <c r="B15" s="20" t="s">
        <v>265</v>
      </c>
      <c r="C15" s="22">
        <f t="shared" si="0"/>
        <v>3870</v>
      </c>
      <c r="D15" s="21">
        <v>0</v>
      </c>
      <c r="E15" s="21">
        <v>0</v>
      </c>
      <c r="F15" s="21">
        <v>175</v>
      </c>
      <c r="G15" s="21">
        <v>0</v>
      </c>
      <c r="H15" s="21">
        <f>375+200</f>
        <v>575</v>
      </c>
      <c r="I15" s="21">
        <f>200</f>
        <v>200</v>
      </c>
      <c r="J15" s="21">
        <f>275+130</f>
        <v>405</v>
      </c>
      <c r="K15" s="21">
        <f>475+300</f>
        <v>775</v>
      </c>
      <c r="L15" s="21">
        <f>225+225+350</f>
        <v>800</v>
      </c>
      <c r="M15" s="21">
        <v>575</v>
      </c>
      <c r="N15" s="21">
        <f>250</f>
        <v>250</v>
      </c>
      <c r="O15" s="21">
        <f>115</f>
        <v>115</v>
      </c>
    </row>
    <row r="16" spans="1:15" ht="15" customHeight="1" x14ac:dyDescent="0.2">
      <c r="A16" s="20">
        <v>9</v>
      </c>
      <c r="B16" s="20" t="s">
        <v>290</v>
      </c>
      <c r="C16" s="22">
        <f t="shared" si="0"/>
        <v>3760</v>
      </c>
      <c r="D16" s="21">
        <v>0</v>
      </c>
      <c r="E16" s="21">
        <v>0</v>
      </c>
      <c r="F16" s="21">
        <v>0</v>
      </c>
      <c r="G16" s="21">
        <v>130</v>
      </c>
      <c r="H16" s="21">
        <f>575+350</f>
        <v>925</v>
      </c>
      <c r="I16" s="21">
        <f>145+130</f>
        <v>275</v>
      </c>
      <c r="J16" s="21">
        <f>200+115</f>
        <v>315</v>
      </c>
      <c r="K16" s="21">
        <f>145+200</f>
        <v>345</v>
      </c>
      <c r="L16" s="21">
        <v>0</v>
      </c>
      <c r="M16" s="21">
        <f>225+475</f>
        <v>700</v>
      </c>
      <c r="N16" s="21">
        <f>225+145</f>
        <v>370</v>
      </c>
      <c r="O16" s="21">
        <f>200+225+275</f>
        <v>700</v>
      </c>
    </row>
    <row r="17" spans="1:15" ht="15" customHeight="1" x14ac:dyDescent="0.2">
      <c r="A17" s="20">
        <v>10</v>
      </c>
      <c r="B17" s="20" t="s">
        <v>268</v>
      </c>
      <c r="C17" s="22">
        <f t="shared" si="0"/>
        <v>3460</v>
      </c>
      <c r="D17" s="21">
        <v>0</v>
      </c>
      <c r="E17" s="21">
        <v>0</v>
      </c>
      <c r="F17" s="21">
        <v>130</v>
      </c>
      <c r="G17" s="21">
        <f>575</f>
        <v>575</v>
      </c>
      <c r="H17" s="21">
        <f>145</f>
        <v>145</v>
      </c>
      <c r="I17" s="21">
        <v>325</v>
      </c>
      <c r="J17" s="21">
        <v>0</v>
      </c>
      <c r="K17" s="21">
        <v>275</v>
      </c>
      <c r="L17" s="21">
        <f>375+160</f>
        <v>535</v>
      </c>
      <c r="M17" s="21">
        <v>250</v>
      </c>
      <c r="N17" s="21">
        <v>300</v>
      </c>
      <c r="O17" s="21">
        <f>575+350</f>
        <v>925</v>
      </c>
    </row>
    <row r="18" spans="1:15" ht="15" customHeight="1" x14ac:dyDescent="0.2">
      <c r="A18" s="20">
        <v>11</v>
      </c>
      <c r="B18" s="20" t="s">
        <v>292</v>
      </c>
      <c r="C18" s="21">
        <f t="shared" si="0"/>
        <v>3375</v>
      </c>
      <c r="D18" s="21">
        <v>0</v>
      </c>
      <c r="E18" s="21">
        <v>0</v>
      </c>
      <c r="F18" s="21">
        <v>0</v>
      </c>
      <c r="G18" s="21">
        <v>0</v>
      </c>
      <c r="H18" s="21">
        <f>425+575</f>
        <v>1000</v>
      </c>
      <c r="I18" s="21">
        <f>575+425</f>
        <v>1000</v>
      </c>
      <c r="J18" s="21">
        <f>225</f>
        <v>225</v>
      </c>
      <c r="K18" s="21">
        <f>250+160</f>
        <v>410</v>
      </c>
      <c r="L18" s="21">
        <f>275+350</f>
        <v>625</v>
      </c>
      <c r="M18" s="21">
        <v>0</v>
      </c>
      <c r="N18" s="21">
        <v>0</v>
      </c>
      <c r="O18" s="21">
        <f>115</f>
        <v>115</v>
      </c>
    </row>
    <row r="19" spans="1:15" ht="15" customHeight="1" x14ac:dyDescent="0.2">
      <c r="A19" s="20">
        <v>12</v>
      </c>
      <c r="B19" s="20" t="s">
        <v>288</v>
      </c>
      <c r="C19" s="21">
        <f t="shared" si="0"/>
        <v>2910</v>
      </c>
      <c r="D19" s="21">
        <v>0</v>
      </c>
      <c r="E19" s="21">
        <v>0</v>
      </c>
      <c r="F19" s="21">
        <v>0</v>
      </c>
      <c r="G19" s="21">
        <v>350</v>
      </c>
      <c r="H19" s="21">
        <v>250</v>
      </c>
      <c r="I19" s="21">
        <v>175</v>
      </c>
      <c r="J19" s="21">
        <v>350</v>
      </c>
      <c r="K19" s="21">
        <v>475</v>
      </c>
      <c r="L19" s="21">
        <f>160+145+130</f>
        <v>435</v>
      </c>
      <c r="M19" s="21">
        <v>350</v>
      </c>
      <c r="N19" s="21">
        <v>350</v>
      </c>
      <c r="O19" s="21">
        <f>175</f>
        <v>175</v>
      </c>
    </row>
    <row r="20" spans="1:15" ht="15" customHeight="1" x14ac:dyDescent="0.2">
      <c r="A20" s="20">
        <v>13</v>
      </c>
      <c r="B20" s="20" t="s">
        <v>303</v>
      </c>
      <c r="C20" s="21">
        <f t="shared" si="0"/>
        <v>2765</v>
      </c>
      <c r="D20" s="21">
        <v>0</v>
      </c>
      <c r="E20" s="21">
        <v>0</v>
      </c>
      <c r="F20" s="21">
        <v>0</v>
      </c>
      <c r="G20" s="21">
        <v>0</v>
      </c>
      <c r="H20" s="21">
        <v>0</v>
      </c>
      <c r="I20" s="21">
        <v>0</v>
      </c>
      <c r="J20" s="21">
        <f>300+475</f>
        <v>775</v>
      </c>
      <c r="K20" s="21">
        <f>350</f>
        <v>350</v>
      </c>
      <c r="L20" s="21">
        <v>200</v>
      </c>
      <c r="M20" s="21">
        <f>575</f>
        <v>575</v>
      </c>
      <c r="N20" s="21">
        <f>115+575</f>
        <v>690</v>
      </c>
      <c r="O20" s="21">
        <f>175</f>
        <v>175</v>
      </c>
    </row>
    <row r="21" spans="1:15" ht="15" customHeight="1" x14ac:dyDescent="0.2">
      <c r="A21" s="20">
        <v>14</v>
      </c>
      <c r="B21" s="20" t="s">
        <v>195</v>
      </c>
      <c r="C21" s="21">
        <f t="shared" si="0"/>
        <v>2655</v>
      </c>
      <c r="D21" s="21">
        <v>160</v>
      </c>
      <c r="E21" s="21">
        <v>0</v>
      </c>
      <c r="F21" s="21">
        <v>375</v>
      </c>
      <c r="G21" s="21">
        <v>375</v>
      </c>
      <c r="H21" s="21">
        <f>160+475</f>
        <v>635</v>
      </c>
      <c r="I21" s="21">
        <f>350+375</f>
        <v>725</v>
      </c>
      <c r="J21" s="21">
        <v>0</v>
      </c>
      <c r="K21" s="21">
        <v>0</v>
      </c>
      <c r="L21" s="21">
        <v>160</v>
      </c>
      <c r="M21" s="21">
        <v>0</v>
      </c>
      <c r="N21" s="21">
        <v>225</v>
      </c>
      <c r="O21" s="21">
        <v>0</v>
      </c>
    </row>
    <row r="22" spans="1:15" ht="15" customHeight="1" x14ac:dyDescent="0.2">
      <c r="A22" s="20">
        <v>15</v>
      </c>
      <c r="B22" s="20" t="s">
        <v>294</v>
      </c>
      <c r="C22" s="21">
        <f t="shared" si="0"/>
        <v>2420</v>
      </c>
      <c r="D22" s="21">
        <v>0</v>
      </c>
      <c r="E22" s="21">
        <v>0</v>
      </c>
      <c r="F22" s="21">
        <v>0</v>
      </c>
      <c r="G22" s="21">
        <v>0</v>
      </c>
      <c r="H22" s="21">
        <f>130</f>
        <v>130</v>
      </c>
      <c r="I22" s="21">
        <f>160</f>
        <v>160</v>
      </c>
      <c r="J22" s="21">
        <f>350</f>
        <v>350</v>
      </c>
      <c r="K22" s="21">
        <v>0</v>
      </c>
      <c r="L22" s="21">
        <f>145+425</f>
        <v>570</v>
      </c>
      <c r="M22" s="21">
        <f>160+325</f>
        <v>485</v>
      </c>
      <c r="N22" s="21">
        <f>350+115</f>
        <v>465</v>
      </c>
      <c r="O22" s="21">
        <f>130+130</f>
        <v>260</v>
      </c>
    </row>
    <row r="23" spans="1:15" ht="15" customHeight="1" x14ac:dyDescent="0.2">
      <c r="A23" s="20">
        <v>16</v>
      </c>
      <c r="B23" s="20" t="s">
        <v>250</v>
      </c>
      <c r="C23" s="21">
        <f t="shared" si="0"/>
        <v>2240</v>
      </c>
      <c r="D23" s="21">
        <v>350</v>
      </c>
      <c r="E23" s="21">
        <v>300</v>
      </c>
      <c r="F23" s="21">
        <v>0</v>
      </c>
      <c r="G23" s="21">
        <v>175</v>
      </c>
      <c r="H23" s="21">
        <f>115+275</f>
        <v>390</v>
      </c>
      <c r="I23" s="21">
        <f>300</f>
        <v>300</v>
      </c>
      <c r="J23" s="21">
        <v>0</v>
      </c>
      <c r="K23" s="21">
        <v>0</v>
      </c>
      <c r="L23" s="21">
        <f>130</f>
        <v>130</v>
      </c>
      <c r="M23" s="21">
        <f>275+145</f>
        <v>420</v>
      </c>
      <c r="N23" s="21">
        <v>0</v>
      </c>
      <c r="O23" s="21">
        <v>175</v>
      </c>
    </row>
    <row r="24" spans="1:15" ht="15" customHeight="1" x14ac:dyDescent="0.2">
      <c r="A24" s="20">
        <v>17</v>
      </c>
      <c r="B24" s="20" t="s">
        <v>259</v>
      </c>
      <c r="C24" s="21">
        <f t="shared" si="0"/>
        <v>2065</v>
      </c>
      <c r="D24" s="21">
        <v>0</v>
      </c>
      <c r="E24" s="21">
        <v>275</v>
      </c>
      <c r="F24" s="21">
        <v>200</v>
      </c>
      <c r="G24" s="21">
        <v>250</v>
      </c>
      <c r="H24" s="21">
        <f>200+325</f>
        <v>525</v>
      </c>
      <c r="I24" s="21">
        <v>0</v>
      </c>
      <c r="J24" s="21">
        <v>0</v>
      </c>
      <c r="K24" s="21">
        <f>275+425</f>
        <v>700</v>
      </c>
      <c r="L24" s="21">
        <v>0</v>
      </c>
      <c r="M24" s="21">
        <f>115</f>
        <v>115</v>
      </c>
      <c r="N24" s="21">
        <v>0</v>
      </c>
      <c r="O24" s="21">
        <v>0</v>
      </c>
    </row>
    <row r="25" spans="1:15" ht="15" customHeight="1" x14ac:dyDescent="0.2">
      <c r="A25" s="20">
        <v>18</v>
      </c>
      <c r="B25" s="20" t="s">
        <v>317</v>
      </c>
      <c r="C25" s="21">
        <f t="shared" si="0"/>
        <v>1685</v>
      </c>
      <c r="D25" s="21">
        <v>0</v>
      </c>
      <c r="E25" s="21">
        <v>0</v>
      </c>
      <c r="F25" s="21">
        <v>0</v>
      </c>
      <c r="G25" s="21">
        <v>325</v>
      </c>
      <c r="H25" s="21">
        <v>0</v>
      </c>
      <c r="I25" s="21">
        <v>0</v>
      </c>
      <c r="J25" s="21">
        <v>0</v>
      </c>
      <c r="K25" s="21">
        <v>0</v>
      </c>
      <c r="L25" s="21">
        <f>325+275</f>
        <v>600</v>
      </c>
      <c r="M25" s="21">
        <v>0</v>
      </c>
      <c r="N25" s="21">
        <v>275</v>
      </c>
      <c r="O25" s="21">
        <f>160+325</f>
        <v>485</v>
      </c>
    </row>
    <row r="26" spans="1:15" ht="15" customHeight="1" x14ac:dyDescent="0.2">
      <c r="A26" s="20">
        <v>19</v>
      </c>
      <c r="B26" s="20" t="s">
        <v>260</v>
      </c>
      <c r="C26" s="21">
        <f t="shared" si="0"/>
        <v>1640</v>
      </c>
      <c r="D26" s="21">
        <v>0</v>
      </c>
      <c r="E26" s="21">
        <v>0</v>
      </c>
      <c r="F26" s="21">
        <v>575</v>
      </c>
      <c r="G26" s="21">
        <v>200</v>
      </c>
      <c r="H26" s="21">
        <v>175</v>
      </c>
      <c r="I26" s="21">
        <v>0</v>
      </c>
      <c r="J26" s="21">
        <v>0</v>
      </c>
      <c r="K26" s="21">
        <v>0</v>
      </c>
      <c r="L26" s="21">
        <f>115+375</f>
        <v>490</v>
      </c>
      <c r="M26" s="21">
        <v>200</v>
      </c>
      <c r="N26" s="21">
        <v>0</v>
      </c>
      <c r="O26" s="21">
        <v>0</v>
      </c>
    </row>
    <row r="27" spans="1:15" ht="15" customHeight="1" x14ac:dyDescent="0.2">
      <c r="A27" s="20">
        <v>20</v>
      </c>
      <c r="B27" s="20" t="s">
        <v>279</v>
      </c>
      <c r="C27" s="21">
        <f t="shared" si="0"/>
        <v>1525</v>
      </c>
      <c r="D27" s="21">
        <v>0</v>
      </c>
      <c r="E27" s="21">
        <v>0</v>
      </c>
      <c r="F27" s="21">
        <v>0</v>
      </c>
      <c r="G27" s="21">
        <f>425</f>
        <v>425</v>
      </c>
      <c r="H27" s="21">
        <f>350</f>
        <v>350</v>
      </c>
      <c r="I27" s="21">
        <v>0</v>
      </c>
      <c r="J27" s="21">
        <v>0</v>
      </c>
      <c r="K27" s="21">
        <v>0</v>
      </c>
      <c r="L27" s="21">
        <v>0</v>
      </c>
      <c r="M27" s="21">
        <v>0</v>
      </c>
      <c r="N27" s="21">
        <v>325</v>
      </c>
      <c r="O27" s="21">
        <f>425</f>
        <v>425</v>
      </c>
    </row>
    <row r="28" spans="1:15" ht="15" customHeight="1" x14ac:dyDescent="0.2">
      <c r="A28" s="20">
        <v>21</v>
      </c>
      <c r="B28" s="20" t="s">
        <v>293</v>
      </c>
      <c r="C28" s="21">
        <f t="shared" si="0"/>
        <v>1510</v>
      </c>
      <c r="D28" s="21">
        <v>0</v>
      </c>
      <c r="E28" s="21">
        <v>0</v>
      </c>
      <c r="F28" s="21">
        <v>0</v>
      </c>
      <c r="G28" s="21">
        <v>0</v>
      </c>
      <c r="H28" s="21">
        <f>225</f>
        <v>225</v>
      </c>
      <c r="I28" s="21">
        <v>0</v>
      </c>
      <c r="J28" s="21">
        <f>130+275</f>
        <v>405</v>
      </c>
      <c r="K28" s="21">
        <f>115</f>
        <v>115</v>
      </c>
      <c r="L28" s="21">
        <f>275</f>
        <v>275</v>
      </c>
      <c r="M28" s="21">
        <v>0</v>
      </c>
      <c r="N28" s="21">
        <v>0</v>
      </c>
      <c r="O28" s="21">
        <f>375+115</f>
        <v>490</v>
      </c>
    </row>
    <row r="29" spans="1:15" ht="15" customHeight="1" x14ac:dyDescent="0.2">
      <c r="A29" s="20">
        <v>22</v>
      </c>
      <c r="B29" s="20" t="s">
        <v>286</v>
      </c>
      <c r="C29" s="21">
        <f t="shared" si="0"/>
        <v>1480</v>
      </c>
      <c r="D29" s="21">
        <v>0</v>
      </c>
      <c r="E29" s="21">
        <v>0</v>
      </c>
      <c r="F29" s="21">
        <v>300</v>
      </c>
      <c r="G29" s="21">
        <f>115+300</f>
        <v>415</v>
      </c>
      <c r="H29" s="21">
        <v>130</v>
      </c>
      <c r="I29" s="21">
        <v>160</v>
      </c>
      <c r="J29" s="21">
        <v>0</v>
      </c>
      <c r="K29" s="21">
        <v>115</v>
      </c>
      <c r="L29" s="21">
        <v>0</v>
      </c>
      <c r="M29" s="21">
        <v>160</v>
      </c>
      <c r="N29" s="21">
        <v>0</v>
      </c>
      <c r="O29" s="21">
        <f>200</f>
        <v>200</v>
      </c>
    </row>
    <row r="30" spans="1:15" ht="15" customHeight="1" x14ac:dyDescent="0.2">
      <c r="A30" s="20">
        <v>23</v>
      </c>
      <c r="B30" s="20" t="s">
        <v>300</v>
      </c>
      <c r="C30" s="21">
        <f t="shared" si="0"/>
        <v>1365</v>
      </c>
      <c r="D30" s="21">
        <v>0</v>
      </c>
      <c r="E30" s="21">
        <v>0</v>
      </c>
      <c r="F30" s="21">
        <v>0</v>
      </c>
      <c r="G30" s="21">
        <v>0</v>
      </c>
      <c r="H30" s="21">
        <v>0</v>
      </c>
      <c r="I30" s="21">
        <v>275</v>
      </c>
      <c r="J30" s="21">
        <v>0</v>
      </c>
      <c r="K30" s="21">
        <v>0</v>
      </c>
      <c r="L30" s="21">
        <v>325</v>
      </c>
      <c r="M30" s="21">
        <v>0</v>
      </c>
      <c r="N30" s="21">
        <v>0</v>
      </c>
      <c r="O30" s="21">
        <f>145+475+145</f>
        <v>765</v>
      </c>
    </row>
    <row r="31" spans="1:15" ht="15" customHeight="1" x14ac:dyDescent="0.2">
      <c r="A31" s="20">
        <v>24</v>
      </c>
      <c r="B31" s="20" t="s">
        <v>257</v>
      </c>
      <c r="C31" s="21">
        <f t="shared" si="0"/>
        <v>1325</v>
      </c>
      <c r="D31" s="21">
        <v>275</v>
      </c>
      <c r="E31" s="21">
        <v>575</v>
      </c>
      <c r="F31" s="21">
        <v>475</v>
      </c>
      <c r="G31" s="21">
        <v>0</v>
      </c>
      <c r="H31" s="21">
        <v>0</v>
      </c>
      <c r="I31" s="21">
        <v>0</v>
      </c>
      <c r="J31" s="21">
        <v>0</v>
      </c>
      <c r="K31" s="21">
        <v>0</v>
      </c>
      <c r="L31" s="21">
        <v>0</v>
      </c>
      <c r="M31" s="21">
        <v>0</v>
      </c>
      <c r="N31" s="21">
        <v>0</v>
      </c>
      <c r="O31" s="21">
        <v>0</v>
      </c>
    </row>
    <row r="32" spans="1:15" ht="15" customHeight="1" x14ac:dyDescent="0.2">
      <c r="A32" s="20">
        <v>25</v>
      </c>
      <c r="B32" s="20" t="s">
        <v>310</v>
      </c>
      <c r="C32" s="21">
        <f t="shared" si="0"/>
        <v>1150</v>
      </c>
      <c r="D32" s="21">
        <v>0</v>
      </c>
      <c r="E32" s="21">
        <v>0</v>
      </c>
      <c r="F32" s="21">
        <v>0</v>
      </c>
      <c r="G32" s="21">
        <v>0</v>
      </c>
      <c r="H32" s="21">
        <v>0</v>
      </c>
      <c r="I32" s="21">
        <v>0</v>
      </c>
      <c r="J32" s="21">
        <v>0</v>
      </c>
      <c r="K32" s="21">
        <f>225</f>
        <v>225</v>
      </c>
      <c r="L32" s="21">
        <f>425</f>
        <v>425</v>
      </c>
      <c r="M32" s="21">
        <f>175</f>
        <v>175</v>
      </c>
      <c r="N32" s="21">
        <f>325</f>
        <v>325</v>
      </c>
      <c r="O32" s="21">
        <v>0</v>
      </c>
    </row>
    <row r="33" spans="1:15" ht="15" customHeight="1" x14ac:dyDescent="0.2">
      <c r="A33" s="20">
        <v>26</v>
      </c>
      <c r="B33" s="20" t="s">
        <v>245</v>
      </c>
      <c r="C33" s="21">
        <f t="shared" si="0"/>
        <v>1050</v>
      </c>
      <c r="D33" s="21">
        <v>300</v>
      </c>
      <c r="E33" s="21">
        <v>0</v>
      </c>
      <c r="F33" s="21">
        <v>0</v>
      </c>
      <c r="G33" s="21">
        <v>0</v>
      </c>
      <c r="H33" s="21">
        <f>250</f>
        <v>250</v>
      </c>
      <c r="I33" s="21">
        <v>225</v>
      </c>
      <c r="J33" s="21">
        <f>160</f>
        <v>160</v>
      </c>
      <c r="K33" s="21">
        <v>0</v>
      </c>
      <c r="L33" s="21">
        <v>115</v>
      </c>
      <c r="M33" s="21">
        <v>0</v>
      </c>
      <c r="N33" s="21">
        <v>0</v>
      </c>
      <c r="O33" s="21">
        <v>0</v>
      </c>
    </row>
    <row r="34" spans="1:15" ht="15" customHeight="1" x14ac:dyDescent="0.2">
      <c r="A34" s="20">
        <v>27</v>
      </c>
      <c r="B34" s="20" t="s">
        <v>298</v>
      </c>
      <c r="C34" s="21">
        <f t="shared" si="0"/>
        <v>900</v>
      </c>
      <c r="D34" s="21">
        <v>0</v>
      </c>
      <c r="E34" s="21">
        <v>0</v>
      </c>
      <c r="F34" s="21">
        <v>0</v>
      </c>
      <c r="G34" s="21">
        <v>0</v>
      </c>
      <c r="H34" s="21">
        <v>0</v>
      </c>
      <c r="I34" s="21">
        <f>175+300</f>
        <v>475</v>
      </c>
      <c r="J34" s="21">
        <v>0</v>
      </c>
      <c r="K34" s="21">
        <v>0</v>
      </c>
      <c r="L34" s="21">
        <v>0</v>
      </c>
      <c r="M34" s="21">
        <v>0</v>
      </c>
      <c r="N34" s="21">
        <v>0</v>
      </c>
      <c r="O34" s="21">
        <v>425</v>
      </c>
    </row>
    <row r="35" spans="1:15" ht="15" customHeight="1" x14ac:dyDescent="0.2">
      <c r="A35" s="20">
        <v>28</v>
      </c>
      <c r="B35" s="20" t="s">
        <v>313</v>
      </c>
      <c r="C35" s="21">
        <f t="shared" si="0"/>
        <v>840</v>
      </c>
      <c r="D35" s="21">
        <v>0</v>
      </c>
      <c r="E35" s="21">
        <v>0</v>
      </c>
      <c r="F35" s="21">
        <v>0</v>
      </c>
      <c r="G35" s="21">
        <v>0</v>
      </c>
      <c r="H35" s="21">
        <v>0</v>
      </c>
      <c r="I35" s="21">
        <v>0</v>
      </c>
      <c r="J35" s="21">
        <v>0</v>
      </c>
      <c r="K35" s="21">
        <v>0</v>
      </c>
      <c r="L35" s="21">
        <f>475</f>
        <v>475</v>
      </c>
      <c r="M35" s="21">
        <f>250+115</f>
        <v>365</v>
      </c>
      <c r="N35" s="21">
        <v>0</v>
      </c>
      <c r="O35" s="21">
        <v>0</v>
      </c>
    </row>
    <row r="36" spans="1:15" ht="15" customHeight="1" x14ac:dyDescent="0.2">
      <c r="A36" s="20">
        <v>29</v>
      </c>
      <c r="B36" s="20" t="s">
        <v>320</v>
      </c>
      <c r="C36" s="21">
        <f t="shared" si="0"/>
        <v>810</v>
      </c>
      <c r="D36" s="21">
        <v>0</v>
      </c>
      <c r="E36" s="21">
        <v>0</v>
      </c>
      <c r="F36" s="21">
        <v>0</v>
      </c>
      <c r="G36" s="21">
        <v>0</v>
      </c>
      <c r="H36" s="21">
        <v>0</v>
      </c>
      <c r="I36" s="21">
        <v>0</v>
      </c>
      <c r="J36" s="21">
        <v>0</v>
      </c>
      <c r="K36" s="21">
        <v>0</v>
      </c>
      <c r="L36" s="21">
        <v>175</v>
      </c>
      <c r="M36" s="21">
        <v>0</v>
      </c>
      <c r="N36" s="21">
        <f>475</f>
        <v>475</v>
      </c>
      <c r="O36" s="21">
        <f>160</f>
        <v>160</v>
      </c>
    </row>
    <row r="37" spans="1:15" ht="15" customHeight="1" x14ac:dyDescent="0.2">
      <c r="A37" s="20">
        <v>30</v>
      </c>
      <c r="B37" s="20" t="s">
        <v>251</v>
      </c>
      <c r="C37" s="21">
        <f t="shared" si="0"/>
        <v>800</v>
      </c>
      <c r="D37" s="21">
        <v>325</v>
      </c>
      <c r="E37" s="21">
        <v>0</v>
      </c>
      <c r="F37" s="21">
        <v>0</v>
      </c>
      <c r="G37" s="21">
        <f>475</f>
        <v>475</v>
      </c>
      <c r="H37" s="21">
        <v>0</v>
      </c>
      <c r="I37" s="21">
        <v>0</v>
      </c>
      <c r="J37" s="21">
        <v>0</v>
      </c>
      <c r="K37" s="21">
        <v>0</v>
      </c>
      <c r="L37" s="21">
        <v>0</v>
      </c>
      <c r="M37" s="21">
        <v>0</v>
      </c>
      <c r="N37" s="21">
        <v>0</v>
      </c>
      <c r="O37" s="21">
        <v>0</v>
      </c>
    </row>
    <row r="38" spans="1:15" ht="15" customHeight="1" x14ac:dyDescent="0.2">
      <c r="A38" s="20">
        <v>31</v>
      </c>
      <c r="B38" s="20" t="s">
        <v>319</v>
      </c>
      <c r="C38" s="21">
        <f t="shared" si="0"/>
        <v>790</v>
      </c>
      <c r="D38" s="21">
        <v>0</v>
      </c>
      <c r="E38" s="21">
        <v>0</v>
      </c>
      <c r="F38" s="21">
        <v>0</v>
      </c>
      <c r="G38" s="21">
        <v>0</v>
      </c>
      <c r="H38" s="21">
        <v>145</v>
      </c>
      <c r="I38" s="21">
        <v>0</v>
      </c>
      <c r="J38" s="21">
        <v>0</v>
      </c>
      <c r="K38" s="21">
        <v>0</v>
      </c>
      <c r="L38" s="21">
        <v>0</v>
      </c>
      <c r="M38" s="21">
        <v>275</v>
      </c>
      <c r="N38" s="21">
        <v>0</v>
      </c>
      <c r="O38" s="21">
        <f>145+225</f>
        <v>370</v>
      </c>
    </row>
    <row r="39" spans="1:15" ht="15" customHeight="1" x14ac:dyDescent="0.2">
      <c r="A39" s="20">
        <v>32</v>
      </c>
      <c r="B39" s="20" t="s">
        <v>280</v>
      </c>
      <c r="C39" s="21">
        <f t="shared" si="0"/>
        <v>725</v>
      </c>
      <c r="D39" s="21">
        <v>0</v>
      </c>
      <c r="E39" s="21">
        <v>0</v>
      </c>
      <c r="F39" s="21">
        <v>0</v>
      </c>
      <c r="G39" s="21">
        <f>375</f>
        <v>375</v>
      </c>
      <c r="H39" s="21">
        <v>0</v>
      </c>
      <c r="I39" s="21">
        <v>0</v>
      </c>
      <c r="J39" s="21">
        <v>0</v>
      </c>
      <c r="K39" s="21">
        <v>0</v>
      </c>
      <c r="L39" s="21">
        <v>0</v>
      </c>
      <c r="M39" s="21">
        <v>0</v>
      </c>
      <c r="N39" s="21">
        <v>0</v>
      </c>
      <c r="O39" s="21">
        <f>350</f>
        <v>350</v>
      </c>
    </row>
    <row r="40" spans="1:15" ht="15" customHeight="1" x14ac:dyDescent="0.2">
      <c r="A40" s="23">
        <v>33</v>
      </c>
      <c r="B40" s="23" t="s">
        <v>291</v>
      </c>
      <c r="C40" s="24">
        <f t="shared" ref="C40:C71" si="1">SUM(D40:O40)</f>
        <v>695</v>
      </c>
      <c r="D40" s="24">
        <v>0</v>
      </c>
      <c r="E40" s="24">
        <v>0</v>
      </c>
      <c r="F40" s="24">
        <v>0</v>
      </c>
      <c r="G40" s="24">
        <v>115</v>
      </c>
      <c r="H40" s="24">
        <f>175</f>
        <v>175</v>
      </c>
      <c r="I40" s="24">
        <f>130+115</f>
        <v>245</v>
      </c>
      <c r="J40" s="24">
        <v>160</v>
      </c>
      <c r="K40" s="24">
        <v>0</v>
      </c>
      <c r="L40" s="24">
        <v>0</v>
      </c>
      <c r="M40" s="24">
        <v>0</v>
      </c>
      <c r="N40" s="24">
        <v>0</v>
      </c>
      <c r="O40" s="24">
        <v>0</v>
      </c>
    </row>
    <row r="41" spans="1:15" ht="15" customHeight="1" x14ac:dyDescent="0.2">
      <c r="A41" s="23">
        <v>34</v>
      </c>
      <c r="B41" s="23" t="s">
        <v>253</v>
      </c>
      <c r="C41" s="24">
        <f t="shared" si="1"/>
        <v>675</v>
      </c>
      <c r="D41" s="24">
        <v>200</v>
      </c>
      <c r="E41" s="24">
        <v>0</v>
      </c>
      <c r="F41" s="24">
        <v>0</v>
      </c>
      <c r="G41" s="24">
        <v>475</v>
      </c>
      <c r="H41" s="24">
        <v>0</v>
      </c>
      <c r="I41" s="24">
        <v>0</v>
      </c>
      <c r="J41" s="24">
        <v>0</v>
      </c>
      <c r="K41" s="24">
        <v>0</v>
      </c>
      <c r="L41" s="24">
        <v>0</v>
      </c>
      <c r="M41" s="24">
        <v>0</v>
      </c>
      <c r="N41" s="24">
        <v>0</v>
      </c>
      <c r="O41" s="24">
        <v>0</v>
      </c>
    </row>
    <row r="42" spans="1:15" ht="15" customHeight="1" x14ac:dyDescent="0.2">
      <c r="A42" s="23">
        <v>35</v>
      </c>
      <c r="B42" s="23" t="s">
        <v>199</v>
      </c>
      <c r="C42" s="24">
        <f t="shared" si="1"/>
        <v>650</v>
      </c>
      <c r="D42" s="24">
        <v>0</v>
      </c>
      <c r="E42" s="24">
        <v>425</v>
      </c>
      <c r="F42" s="24">
        <v>0</v>
      </c>
      <c r="G42" s="24">
        <f>225</f>
        <v>225</v>
      </c>
      <c r="H42" s="24">
        <v>0</v>
      </c>
      <c r="I42" s="24">
        <v>0</v>
      </c>
      <c r="J42" s="24">
        <v>0</v>
      </c>
      <c r="K42" s="24">
        <v>0</v>
      </c>
      <c r="L42" s="24">
        <v>0</v>
      </c>
      <c r="M42" s="24">
        <v>0</v>
      </c>
      <c r="N42" s="24">
        <v>0</v>
      </c>
      <c r="O42" s="24">
        <v>0</v>
      </c>
    </row>
    <row r="43" spans="1:15" ht="15" customHeight="1" x14ac:dyDescent="0.2">
      <c r="A43" s="23">
        <v>36</v>
      </c>
      <c r="B43" s="23" t="s">
        <v>261</v>
      </c>
      <c r="C43" s="24">
        <f t="shared" si="1"/>
        <v>625</v>
      </c>
      <c r="D43" s="24">
        <v>0</v>
      </c>
      <c r="E43" s="24">
        <v>0</v>
      </c>
      <c r="F43" s="24">
        <v>325</v>
      </c>
      <c r="G43" s="24">
        <f>300</f>
        <v>300</v>
      </c>
      <c r="H43" s="24">
        <v>0</v>
      </c>
      <c r="I43" s="24">
        <v>0</v>
      </c>
      <c r="J43" s="24">
        <v>0</v>
      </c>
      <c r="K43" s="24">
        <v>0</v>
      </c>
      <c r="L43" s="24">
        <v>0</v>
      </c>
      <c r="M43" s="24">
        <v>0</v>
      </c>
      <c r="N43" s="24">
        <v>0</v>
      </c>
      <c r="O43" s="24">
        <v>0</v>
      </c>
    </row>
    <row r="44" spans="1:15" ht="15" customHeight="1" x14ac:dyDescent="0.2">
      <c r="A44" s="23">
        <v>37</v>
      </c>
      <c r="B44" s="23" t="s">
        <v>328</v>
      </c>
      <c r="C44" s="24">
        <f t="shared" si="1"/>
        <v>575</v>
      </c>
      <c r="D44" s="24">
        <v>0</v>
      </c>
      <c r="E44" s="24">
        <v>0</v>
      </c>
      <c r="F44" s="24">
        <v>0</v>
      </c>
      <c r="G44" s="24">
        <v>0</v>
      </c>
      <c r="H44" s="24">
        <v>0</v>
      </c>
      <c r="I44" s="24">
        <v>0</v>
      </c>
      <c r="J44" s="24">
        <v>0</v>
      </c>
      <c r="K44" s="24">
        <v>0</v>
      </c>
      <c r="L44" s="24">
        <v>0</v>
      </c>
      <c r="M44" s="24">
        <v>0</v>
      </c>
      <c r="N44" s="24">
        <v>250</v>
      </c>
      <c r="O44" s="24">
        <f>325</f>
        <v>325</v>
      </c>
    </row>
    <row r="45" spans="1:15" ht="15" customHeight="1" x14ac:dyDescent="0.2">
      <c r="A45" s="23">
        <v>37</v>
      </c>
      <c r="B45" s="23" t="s">
        <v>306</v>
      </c>
      <c r="C45" s="24">
        <f t="shared" si="1"/>
        <v>575</v>
      </c>
      <c r="D45" s="24">
        <v>0</v>
      </c>
      <c r="E45" s="24">
        <v>0</v>
      </c>
      <c r="F45" s="24">
        <v>0</v>
      </c>
      <c r="G45" s="24">
        <v>0</v>
      </c>
      <c r="H45" s="24">
        <v>0</v>
      </c>
      <c r="I45" s="24">
        <v>0</v>
      </c>
      <c r="J45" s="24">
        <f>575</f>
        <v>575</v>
      </c>
      <c r="K45" s="24">
        <v>0</v>
      </c>
      <c r="L45" s="24">
        <v>0</v>
      </c>
      <c r="M45" s="24">
        <v>0</v>
      </c>
      <c r="N45" s="24">
        <v>0</v>
      </c>
      <c r="O45" s="24">
        <v>0</v>
      </c>
    </row>
    <row r="46" spans="1:15" ht="15" customHeight="1" x14ac:dyDescent="0.2">
      <c r="A46" s="23">
        <v>37</v>
      </c>
      <c r="B46" s="23" t="s">
        <v>304</v>
      </c>
      <c r="C46" s="24">
        <f t="shared" si="1"/>
        <v>575</v>
      </c>
      <c r="D46" s="24">
        <v>0</v>
      </c>
      <c r="E46" s="24">
        <v>0</v>
      </c>
      <c r="F46" s="24">
        <v>0</v>
      </c>
      <c r="G46" s="24">
        <v>0</v>
      </c>
      <c r="H46" s="24">
        <v>0</v>
      </c>
      <c r="I46" s="24">
        <v>0</v>
      </c>
      <c r="J46" s="24">
        <f>175+175</f>
        <v>350</v>
      </c>
      <c r="K46" s="24">
        <v>225</v>
      </c>
      <c r="L46" s="24">
        <v>0</v>
      </c>
      <c r="M46" s="24">
        <v>0</v>
      </c>
      <c r="N46" s="24">
        <v>0</v>
      </c>
      <c r="O46" s="24">
        <v>0</v>
      </c>
    </row>
    <row r="47" spans="1:15" ht="15" customHeight="1" x14ac:dyDescent="0.2">
      <c r="A47" s="23">
        <v>37</v>
      </c>
      <c r="B47" s="23" t="s">
        <v>316</v>
      </c>
      <c r="C47" s="24">
        <f t="shared" si="1"/>
        <v>575</v>
      </c>
      <c r="D47" s="24">
        <v>0</v>
      </c>
      <c r="E47" s="24">
        <v>0</v>
      </c>
      <c r="F47" s="24">
        <v>0</v>
      </c>
      <c r="G47" s="24">
        <v>0</v>
      </c>
      <c r="H47" s="24">
        <v>0</v>
      </c>
      <c r="I47" s="24">
        <v>0</v>
      </c>
      <c r="J47" s="24">
        <v>0</v>
      </c>
      <c r="K47" s="24">
        <v>0</v>
      </c>
      <c r="L47" s="24">
        <f>575</f>
        <v>575</v>
      </c>
      <c r="M47" s="24">
        <v>0</v>
      </c>
      <c r="N47" s="24">
        <v>0</v>
      </c>
      <c r="O47" s="24">
        <v>0</v>
      </c>
    </row>
    <row r="48" spans="1:15" ht="15" customHeight="1" x14ac:dyDescent="0.2">
      <c r="A48" s="23">
        <v>37</v>
      </c>
      <c r="B48" s="23" t="s">
        <v>246</v>
      </c>
      <c r="C48" s="24">
        <f t="shared" si="1"/>
        <v>575</v>
      </c>
      <c r="D48" s="24">
        <v>225</v>
      </c>
      <c r="E48" s="24">
        <v>0</v>
      </c>
      <c r="F48" s="24">
        <v>350</v>
      </c>
      <c r="G48" s="24">
        <v>0</v>
      </c>
      <c r="H48" s="24">
        <v>0</v>
      </c>
      <c r="I48" s="24">
        <v>0</v>
      </c>
      <c r="J48" s="24">
        <v>0</v>
      </c>
      <c r="K48" s="24">
        <v>0</v>
      </c>
      <c r="L48" s="24">
        <v>0</v>
      </c>
      <c r="M48" s="24">
        <v>0</v>
      </c>
      <c r="N48" s="24">
        <v>0</v>
      </c>
      <c r="O48" s="24">
        <v>0</v>
      </c>
    </row>
    <row r="49" spans="1:15" ht="15" customHeight="1" x14ac:dyDescent="0.2">
      <c r="A49" s="23">
        <v>37</v>
      </c>
      <c r="B49" s="23" t="s">
        <v>302</v>
      </c>
      <c r="C49" s="24">
        <f t="shared" si="1"/>
        <v>575</v>
      </c>
      <c r="D49" s="24">
        <v>0</v>
      </c>
      <c r="E49" s="24">
        <v>0</v>
      </c>
      <c r="F49" s="24">
        <v>0</v>
      </c>
      <c r="G49" s="24">
        <v>0</v>
      </c>
      <c r="H49" s="24">
        <v>0</v>
      </c>
      <c r="I49" s="24">
        <v>0</v>
      </c>
      <c r="J49" s="24">
        <f>575</f>
        <v>575</v>
      </c>
      <c r="K49" s="24">
        <v>0</v>
      </c>
      <c r="L49" s="24">
        <v>0</v>
      </c>
      <c r="M49" s="24">
        <v>0</v>
      </c>
      <c r="N49" s="24">
        <v>0</v>
      </c>
      <c r="O49" s="24">
        <v>0</v>
      </c>
    </row>
    <row r="50" spans="1:15" ht="15" customHeight="1" x14ac:dyDescent="0.2">
      <c r="A50" s="23">
        <v>37</v>
      </c>
      <c r="B50" s="23" t="s">
        <v>309</v>
      </c>
      <c r="C50" s="24">
        <f t="shared" si="1"/>
        <v>575</v>
      </c>
      <c r="D50" s="24">
        <v>0</v>
      </c>
      <c r="E50" s="24">
        <v>0</v>
      </c>
      <c r="F50" s="24">
        <v>0</v>
      </c>
      <c r="G50" s="24">
        <v>0</v>
      </c>
      <c r="H50" s="24">
        <v>0</v>
      </c>
      <c r="I50" s="24">
        <v>0</v>
      </c>
      <c r="J50" s="24">
        <v>0</v>
      </c>
      <c r="K50" s="24">
        <f>575</f>
        <v>575</v>
      </c>
      <c r="L50" s="24">
        <v>0</v>
      </c>
      <c r="M50" s="24">
        <v>0</v>
      </c>
      <c r="N50" s="24">
        <v>0</v>
      </c>
      <c r="O50" s="24">
        <v>0</v>
      </c>
    </row>
    <row r="51" spans="1:15" ht="15" customHeight="1" x14ac:dyDescent="0.2">
      <c r="A51" s="23">
        <v>38</v>
      </c>
      <c r="B51" s="23" t="s">
        <v>318</v>
      </c>
      <c r="C51" s="24">
        <f t="shared" si="1"/>
        <v>555</v>
      </c>
      <c r="D51" s="24">
        <v>0</v>
      </c>
      <c r="E51" s="24">
        <v>0</v>
      </c>
      <c r="F51" s="24">
        <v>0</v>
      </c>
      <c r="G51" s="24">
        <v>0</v>
      </c>
      <c r="H51" s="24">
        <v>0</v>
      </c>
      <c r="I51" s="24">
        <v>0</v>
      </c>
      <c r="J51" s="24">
        <v>0</v>
      </c>
      <c r="K51" s="24">
        <v>0</v>
      </c>
      <c r="L51" s="24">
        <f>130+425</f>
        <v>555</v>
      </c>
      <c r="M51" s="24">
        <v>0</v>
      </c>
      <c r="N51" s="24">
        <v>0</v>
      </c>
      <c r="O51" s="24">
        <v>0</v>
      </c>
    </row>
    <row r="52" spans="1:15" ht="15" customHeight="1" x14ac:dyDescent="0.2">
      <c r="A52" s="23">
        <v>39</v>
      </c>
      <c r="B52" s="23" t="s">
        <v>329</v>
      </c>
      <c r="C52" s="24">
        <f t="shared" si="1"/>
        <v>490</v>
      </c>
      <c r="D52" s="24">
        <v>0</v>
      </c>
      <c r="E52" s="24">
        <v>0</v>
      </c>
      <c r="F52" s="24">
        <v>0</v>
      </c>
      <c r="G52" s="24">
        <v>0</v>
      </c>
      <c r="H52" s="24">
        <v>0</v>
      </c>
      <c r="I52" s="24">
        <v>0</v>
      </c>
      <c r="J52" s="24">
        <v>0</v>
      </c>
      <c r="K52" s="24">
        <v>0</v>
      </c>
      <c r="L52" s="24">
        <v>0</v>
      </c>
      <c r="M52" s="24">
        <v>0</v>
      </c>
      <c r="N52" s="24">
        <v>160</v>
      </c>
      <c r="O52" s="24">
        <f>130+200</f>
        <v>330</v>
      </c>
    </row>
    <row r="53" spans="1:15" ht="15" customHeight="1" x14ac:dyDescent="0.2">
      <c r="A53" s="23">
        <v>40</v>
      </c>
      <c r="B53" s="23" t="s">
        <v>331</v>
      </c>
      <c r="C53" s="24">
        <f t="shared" si="1"/>
        <v>475</v>
      </c>
      <c r="D53" s="24">
        <v>0</v>
      </c>
      <c r="E53" s="24">
        <v>0</v>
      </c>
      <c r="F53" s="24">
        <v>0</v>
      </c>
      <c r="G53" s="24">
        <v>0</v>
      </c>
      <c r="H53" s="24">
        <v>0</v>
      </c>
      <c r="I53" s="24">
        <v>0</v>
      </c>
      <c r="J53" s="24">
        <v>0</v>
      </c>
      <c r="K53" s="24">
        <v>0</v>
      </c>
      <c r="L53" s="24">
        <v>0</v>
      </c>
      <c r="M53" s="24">
        <v>0</v>
      </c>
      <c r="N53" s="24">
        <v>0</v>
      </c>
      <c r="O53" s="24">
        <v>475</v>
      </c>
    </row>
    <row r="54" spans="1:15" ht="15" customHeight="1" x14ac:dyDescent="0.2">
      <c r="A54" s="23">
        <v>41</v>
      </c>
      <c r="B54" s="23" t="s">
        <v>315</v>
      </c>
      <c r="C54" s="24">
        <f t="shared" si="1"/>
        <v>450</v>
      </c>
      <c r="D54" s="24">
        <v>0</v>
      </c>
      <c r="E54" s="24">
        <v>0</v>
      </c>
      <c r="F54" s="24">
        <v>0</v>
      </c>
      <c r="G54" s="24">
        <v>0</v>
      </c>
      <c r="H54" s="24">
        <v>0</v>
      </c>
      <c r="I54" s="24">
        <v>0</v>
      </c>
      <c r="J54" s="24">
        <v>0</v>
      </c>
      <c r="K54" s="24">
        <v>0</v>
      </c>
      <c r="L54" s="24">
        <f>200+250</f>
        <v>450</v>
      </c>
      <c r="M54" s="24">
        <v>0</v>
      </c>
      <c r="N54" s="24">
        <v>0</v>
      </c>
      <c r="O54" s="24">
        <v>0</v>
      </c>
    </row>
    <row r="55" spans="1:15" ht="15" customHeight="1" x14ac:dyDescent="0.2">
      <c r="A55" s="23">
        <v>42</v>
      </c>
      <c r="B55" s="23" t="s">
        <v>287</v>
      </c>
      <c r="C55" s="24">
        <f t="shared" si="1"/>
        <v>425</v>
      </c>
      <c r="D55" s="24">
        <v>0</v>
      </c>
      <c r="E55" s="24">
        <v>0</v>
      </c>
      <c r="F55" s="24">
        <v>0</v>
      </c>
      <c r="G55" s="24">
        <v>425</v>
      </c>
      <c r="H55" s="24">
        <v>0</v>
      </c>
      <c r="I55" s="24">
        <v>0</v>
      </c>
      <c r="J55" s="24">
        <v>0</v>
      </c>
      <c r="K55" s="24">
        <v>0</v>
      </c>
      <c r="L55" s="24">
        <v>0</v>
      </c>
      <c r="M55" s="24">
        <v>0</v>
      </c>
      <c r="N55" s="24">
        <v>0</v>
      </c>
      <c r="O55" s="24">
        <v>0</v>
      </c>
    </row>
    <row r="56" spans="1:15" ht="15" customHeight="1" x14ac:dyDescent="0.2">
      <c r="A56" s="23">
        <v>42</v>
      </c>
      <c r="B56" s="23" t="s">
        <v>321</v>
      </c>
      <c r="C56" s="24">
        <f t="shared" si="1"/>
        <v>425</v>
      </c>
      <c r="D56" s="24">
        <v>0</v>
      </c>
      <c r="E56" s="24">
        <v>0</v>
      </c>
      <c r="F56" s="24">
        <v>0</v>
      </c>
      <c r="G56" s="24">
        <v>0</v>
      </c>
      <c r="H56" s="24">
        <v>0</v>
      </c>
      <c r="I56" s="24">
        <v>0</v>
      </c>
      <c r="J56" s="24">
        <v>0</v>
      </c>
      <c r="K56" s="24">
        <v>0</v>
      </c>
      <c r="L56" s="24">
        <v>0</v>
      </c>
      <c r="M56" s="24">
        <f>425</f>
        <v>425</v>
      </c>
      <c r="N56" s="24">
        <v>0</v>
      </c>
      <c r="O56" s="24">
        <v>0</v>
      </c>
    </row>
    <row r="57" spans="1:15" ht="15" customHeight="1" x14ac:dyDescent="0.2">
      <c r="A57" s="23">
        <v>42</v>
      </c>
      <c r="B57" s="23" t="s">
        <v>218</v>
      </c>
      <c r="C57" s="24">
        <f t="shared" si="1"/>
        <v>425</v>
      </c>
      <c r="D57" s="24">
        <v>0</v>
      </c>
      <c r="E57" s="24">
        <v>0</v>
      </c>
      <c r="F57" s="24">
        <v>0</v>
      </c>
      <c r="G57" s="24">
        <v>0</v>
      </c>
      <c r="H57" s="24">
        <v>0</v>
      </c>
      <c r="I57" s="24">
        <v>0</v>
      </c>
      <c r="J57" s="24">
        <f>425</f>
        <v>425</v>
      </c>
      <c r="K57" s="24">
        <v>0</v>
      </c>
      <c r="L57" s="24">
        <v>0</v>
      </c>
      <c r="M57" s="24">
        <v>0</v>
      </c>
      <c r="N57" s="24">
        <v>0</v>
      </c>
      <c r="O57" s="24">
        <v>0</v>
      </c>
    </row>
    <row r="58" spans="1:15" ht="15" customHeight="1" x14ac:dyDescent="0.2">
      <c r="A58" s="23">
        <v>42</v>
      </c>
      <c r="B58" s="23" t="s">
        <v>295</v>
      </c>
      <c r="C58" s="24">
        <f t="shared" si="1"/>
        <v>425</v>
      </c>
      <c r="D58" s="24">
        <v>0</v>
      </c>
      <c r="E58" s="24">
        <v>0</v>
      </c>
      <c r="F58" s="24">
        <v>0</v>
      </c>
      <c r="G58" s="24">
        <v>0</v>
      </c>
      <c r="H58" s="24">
        <v>0</v>
      </c>
      <c r="I58" s="24">
        <v>425</v>
      </c>
      <c r="J58" s="24">
        <v>0</v>
      </c>
      <c r="K58" s="24">
        <v>0</v>
      </c>
      <c r="L58" s="24">
        <v>0</v>
      </c>
      <c r="M58" s="24">
        <v>0</v>
      </c>
      <c r="N58" s="24">
        <v>0</v>
      </c>
      <c r="O58" s="24">
        <v>0</v>
      </c>
    </row>
    <row r="59" spans="1:15" ht="15" customHeight="1" x14ac:dyDescent="0.2">
      <c r="A59" s="25">
        <v>43</v>
      </c>
      <c r="B59" s="25" t="s">
        <v>330</v>
      </c>
      <c r="C59" s="19">
        <f t="shared" si="1"/>
        <v>380</v>
      </c>
      <c r="D59" s="19">
        <v>0</v>
      </c>
      <c r="E59" s="19">
        <v>0</v>
      </c>
      <c r="F59" s="19">
        <v>0</v>
      </c>
      <c r="G59" s="19">
        <v>0</v>
      </c>
      <c r="H59" s="19">
        <v>0</v>
      </c>
      <c r="I59" s="19">
        <v>0</v>
      </c>
      <c r="J59" s="19">
        <v>0</v>
      </c>
      <c r="K59" s="19">
        <v>0</v>
      </c>
      <c r="L59" s="19">
        <v>0</v>
      </c>
      <c r="M59" s="19">
        <v>0</v>
      </c>
      <c r="N59" s="19">
        <v>130</v>
      </c>
      <c r="O59" s="19">
        <f>250</f>
        <v>250</v>
      </c>
    </row>
    <row r="60" spans="1:15" ht="15" customHeight="1" x14ac:dyDescent="0.2">
      <c r="A60" s="25">
        <v>43</v>
      </c>
      <c r="B60" s="25" t="s">
        <v>263</v>
      </c>
      <c r="C60" s="19">
        <f t="shared" si="1"/>
        <v>380</v>
      </c>
      <c r="D60" s="19">
        <v>0</v>
      </c>
      <c r="E60" s="19">
        <v>0</v>
      </c>
      <c r="F60" s="19">
        <v>250</v>
      </c>
      <c r="G60" s="19">
        <f>130</f>
        <v>130</v>
      </c>
      <c r="H60" s="19">
        <v>0</v>
      </c>
      <c r="I60" s="19">
        <v>0</v>
      </c>
      <c r="J60" s="19">
        <v>0</v>
      </c>
      <c r="K60" s="19">
        <v>0</v>
      </c>
      <c r="L60" s="19">
        <v>0</v>
      </c>
      <c r="M60" s="19">
        <v>0</v>
      </c>
      <c r="N60" s="19">
        <v>0</v>
      </c>
      <c r="O60" s="19">
        <v>0</v>
      </c>
    </row>
    <row r="61" spans="1:15" ht="15" customHeight="1" x14ac:dyDescent="0.2">
      <c r="A61" s="25">
        <v>44</v>
      </c>
      <c r="B61" s="25" t="s">
        <v>307</v>
      </c>
      <c r="C61" s="19">
        <f t="shared" si="1"/>
        <v>375</v>
      </c>
      <c r="D61" s="19">
        <v>0</v>
      </c>
      <c r="E61" s="19">
        <v>0</v>
      </c>
      <c r="F61" s="19">
        <v>0</v>
      </c>
      <c r="G61" s="19">
        <v>0</v>
      </c>
      <c r="H61" s="19">
        <v>0</v>
      </c>
      <c r="I61" s="19">
        <v>0</v>
      </c>
      <c r="J61" s="19">
        <f>375</f>
        <v>375</v>
      </c>
      <c r="K61" s="19">
        <v>0</v>
      </c>
      <c r="L61" s="19">
        <v>0</v>
      </c>
      <c r="M61" s="19">
        <v>0</v>
      </c>
      <c r="N61" s="19">
        <v>0</v>
      </c>
      <c r="O61" s="19">
        <v>0</v>
      </c>
    </row>
    <row r="62" spans="1:15" ht="15" customHeight="1" x14ac:dyDescent="0.2">
      <c r="A62" s="25">
        <v>44</v>
      </c>
      <c r="B62" s="25" t="s">
        <v>322</v>
      </c>
      <c r="C62" s="19">
        <f t="shared" si="1"/>
        <v>375</v>
      </c>
      <c r="D62" s="19">
        <v>0</v>
      </c>
      <c r="E62" s="19">
        <v>0</v>
      </c>
      <c r="F62" s="19">
        <v>0</v>
      </c>
      <c r="G62" s="19">
        <v>0</v>
      </c>
      <c r="H62" s="19">
        <v>0</v>
      </c>
      <c r="I62" s="19">
        <v>0</v>
      </c>
      <c r="J62" s="19">
        <v>0</v>
      </c>
      <c r="K62" s="19">
        <v>0</v>
      </c>
      <c r="L62" s="19">
        <v>0</v>
      </c>
      <c r="M62" s="19">
        <f>375</f>
        <v>375</v>
      </c>
      <c r="N62" s="19">
        <v>0</v>
      </c>
      <c r="O62" s="19">
        <v>0</v>
      </c>
    </row>
    <row r="63" spans="1:15" ht="15" customHeight="1" x14ac:dyDescent="0.2">
      <c r="A63" s="25">
        <v>44</v>
      </c>
      <c r="B63" s="25" t="s">
        <v>332</v>
      </c>
      <c r="C63" s="19">
        <f t="shared" si="1"/>
        <v>375</v>
      </c>
      <c r="D63" s="19">
        <v>0</v>
      </c>
      <c r="E63" s="19">
        <v>0</v>
      </c>
      <c r="F63" s="19">
        <v>0</v>
      </c>
      <c r="G63" s="19">
        <v>0</v>
      </c>
      <c r="H63" s="19">
        <v>0</v>
      </c>
      <c r="I63" s="19">
        <v>0</v>
      </c>
      <c r="J63" s="19">
        <v>0</v>
      </c>
      <c r="K63" s="19">
        <v>0</v>
      </c>
      <c r="L63" s="19">
        <v>0</v>
      </c>
      <c r="M63" s="19">
        <v>0</v>
      </c>
      <c r="N63" s="19">
        <v>0</v>
      </c>
      <c r="O63" s="19">
        <v>375</v>
      </c>
    </row>
    <row r="64" spans="1:15" ht="15" customHeight="1" x14ac:dyDescent="0.2">
      <c r="A64" s="25">
        <v>45</v>
      </c>
      <c r="B64" s="25" t="s">
        <v>281</v>
      </c>
      <c r="C64" s="19">
        <f t="shared" si="1"/>
        <v>350</v>
      </c>
      <c r="D64" s="19">
        <v>0</v>
      </c>
      <c r="E64" s="19">
        <v>0</v>
      </c>
      <c r="F64" s="19">
        <v>0</v>
      </c>
      <c r="G64" s="19">
        <f>350</f>
        <v>350</v>
      </c>
      <c r="H64" s="19">
        <v>0</v>
      </c>
      <c r="I64" s="19">
        <v>0</v>
      </c>
      <c r="J64" s="19">
        <v>0</v>
      </c>
      <c r="K64" s="19">
        <v>0</v>
      </c>
      <c r="L64" s="19">
        <v>0</v>
      </c>
      <c r="M64" s="19">
        <v>0</v>
      </c>
      <c r="N64" s="19">
        <v>0</v>
      </c>
      <c r="O64" s="19">
        <v>0</v>
      </c>
    </row>
    <row r="65" spans="1:15" ht="15" customHeight="1" x14ac:dyDescent="0.2">
      <c r="A65" s="25">
        <v>45</v>
      </c>
      <c r="B65" s="25" t="s">
        <v>258</v>
      </c>
      <c r="C65" s="19">
        <f t="shared" si="1"/>
        <v>350</v>
      </c>
      <c r="D65" s="19">
        <v>0</v>
      </c>
      <c r="E65" s="19">
        <v>350</v>
      </c>
      <c r="F65" s="19">
        <v>0</v>
      </c>
      <c r="G65" s="19">
        <v>0</v>
      </c>
      <c r="H65" s="19">
        <v>0</v>
      </c>
      <c r="I65" s="19">
        <v>0</v>
      </c>
      <c r="J65" s="19">
        <v>0</v>
      </c>
      <c r="K65" s="19">
        <v>0</v>
      </c>
      <c r="L65" s="19">
        <v>0</v>
      </c>
      <c r="M65" s="19">
        <v>0</v>
      </c>
      <c r="N65" s="19">
        <v>0</v>
      </c>
      <c r="O65" s="19">
        <v>0</v>
      </c>
    </row>
    <row r="66" spans="1:15" ht="15" customHeight="1" x14ac:dyDescent="0.2">
      <c r="A66" s="25">
        <v>45</v>
      </c>
      <c r="B66" s="25" t="s">
        <v>299</v>
      </c>
      <c r="C66" s="19">
        <f t="shared" si="1"/>
        <v>350</v>
      </c>
      <c r="D66" s="19">
        <v>0</v>
      </c>
      <c r="E66" s="19">
        <v>0</v>
      </c>
      <c r="F66" s="19">
        <v>0</v>
      </c>
      <c r="G66" s="19">
        <v>0</v>
      </c>
      <c r="H66" s="19">
        <v>0</v>
      </c>
      <c r="I66" s="19">
        <v>350</v>
      </c>
      <c r="J66" s="19">
        <v>0</v>
      </c>
      <c r="K66" s="19">
        <v>0</v>
      </c>
      <c r="L66" s="19">
        <v>0</v>
      </c>
      <c r="M66" s="19">
        <v>0</v>
      </c>
      <c r="N66" s="19">
        <v>0</v>
      </c>
      <c r="O66" s="19">
        <v>0</v>
      </c>
    </row>
    <row r="67" spans="1:15" ht="15" customHeight="1" x14ac:dyDescent="0.2">
      <c r="A67" s="25">
        <v>46</v>
      </c>
      <c r="B67" s="25" t="s">
        <v>282</v>
      </c>
      <c r="C67" s="19">
        <f t="shared" si="1"/>
        <v>325</v>
      </c>
      <c r="D67" s="19">
        <v>0</v>
      </c>
      <c r="E67" s="19">
        <v>0</v>
      </c>
      <c r="F67" s="19">
        <v>0</v>
      </c>
      <c r="G67" s="19">
        <f>325</f>
        <v>325</v>
      </c>
      <c r="H67" s="19">
        <v>0</v>
      </c>
      <c r="I67" s="19">
        <v>0</v>
      </c>
      <c r="J67" s="19">
        <v>0</v>
      </c>
      <c r="K67" s="19">
        <v>0</v>
      </c>
      <c r="L67" s="19">
        <v>0</v>
      </c>
      <c r="M67" s="19">
        <v>0</v>
      </c>
      <c r="N67" s="19">
        <v>0</v>
      </c>
      <c r="O67" s="19">
        <v>0</v>
      </c>
    </row>
    <row r="68" spans="1:15" ht="15" customHeight="1" x14ac:dyDescent="0.2">
      <c r="A68" s="25">
        <v>46</v>
      </c>
      <c r="B68" s="25" t="s">
        <v>314</v>
      </c>
      <c r="C68" s="19">
        <f t="shared" si="1"/>
        <v>325</v>
      </c>
      <c r="D68" s="19">
        <v>0</v>
      </c>
      <c r="E68" s="19">
        <v>0</v>
      </c>
      <c r="F68" s="19">
        <v>0</v>
      </c>
      <c r="G68" s="19">
        <v>0</v>
      </c>
      <c r="H68" s="19">
        <v>0</v>
      </c>
      <c r="I68" s="19">
        <v>0</v>
      </c>
      <c r="J68" s="19">
        <v>0</v>
      </c>
      <c r="K68" s="19">
        <v>0</v>
      </c>
      <c r="L68" s="19">
        <f>325</f>
        <v>325</v>
      </c>
      <c r="M68" s="19">
        <v>0</v>
      </c>
      <c r="N68" s="19">
        <v>0</v>
      </c>
      <c r="O68" s="19">
        <v>0</v>
      </c>
    </row>
    <row r="69" spans="1:15" ht="15" customHeight="1" x14ac:dyDescent="0.2">
      <c r="A69" s="25">
        <v>47</v>
      </c>
      <c r="B69" s="25" t="s">
        <v>324</v>
      </c>
      <c r="C69" s="19">
        <f t="shared" si="1"/>
        <v>320</v>
      </c>
      <c r="D69" s="19">
        <v>0</v>
      </c>
      <c r="E69" s="19">
        <v>0</v>
      </c>
      <c r="F69" s="19">
        <v>0</v>
      </c>
      <c r="G69" s="19">
        <v>0</v>
      </c>
      <c r="H69" s="19">
        <v>0</v>
      </c>
      <c r="I69" s="19">
        <v>0</v>
      </c>
      <c r="J69" s="19">
        <v>0</v>
      </c>
      <c r="K69" s="19">
        <v>0</v>
      </c>
      <c r="L69" s="19">
        <v>0</v>
      </c>
      <c r="M69" s="19">
        <v>0</v>
      </c>
      <c r="N69" s="19">
        <f>160</f>
        <v>160</v>
      </c>
      <c r="O69" s="19">
        <v>160</v>
      </c>
    </row>
    <row r="70" spans="1:15" ht="15" customHeight="1" x14ac:dyDescent="0.2">
      <c r="A70" s="25">
        <v>48</v>
      </c>
      <c r="B70" s="25" t="s">
        <v>305</v>
      </c>
      <c r="C70" s="19">
        <f t="shared" si="1"/>
        <v>315</v>
      </c>
      <c r="D70" s="19">
        <v>0</v>
      </c>
      <c r="E70" s="19">
        <v>0</v>
      </c>
      <c r="F70" s="19">
        <v>0</v>
      </c>
      <c r="G70" s="19">
        <v>0</v>
      </c>
      <c r="H70" s="19">
        <v>0</v>
      </c>
      <c r="I70" s="19">
        <v>0</v>
      </c>
      <c r="J70" s="19">
        <f>115</f>
        <v>115</v>
      </c>
      <c r="K70" s="19">
        <v>0</v>
      </c>
      <c r="L70" s="19">
        <v>0</v>
      </c>
      <c r="M70" s="19">
        <v>0</v>
      </c>
      <c r="N70" s="19">
        <f>200</f>
        <v>200</v>
      </c>
      <c r="O70" s="19">
        <v>0</v>
      </c>
    </row>
    <row r="71" spans="1:15" ht="15" customHeight="1" x14ac:dyDescent="0.2">
      <c r="A71" s="25">
        <v>49</v>
      </c>
      <c r="B71" s="25" t="s">
        <v>323</v>
      </c>
      <c r="C71" s="19">
        <f t="shared" si="1"/>
        <v>300</v>
      </c>
      <c r="D71" s="19">
        <v>0</v>
      </c>
      <c r="E71" s="19">
        <v>0</v>
      </c>
      <c r="F71" s="19">
        <v>0</v>
      </c>
      <c r="G71" s="19">
        <v>0</v>
      </c>
      <c r="H71" s="19">
        <v>0</v>
      </c>
      <c r="I71" s="19">
        <v>0</v>
      </c>
      <c r="J71" s="19">
        <v>0</v>
      </c>
      <c r="K71" s="19">
        <v>0</v>
      </c>
      <c r="L71" s="19">
        <v>0</v>
      </c>
      <c r="M71" s="19">
        <v>300</v>
      </c>
      <c r="N71" s="19">
        <v>0</v>
      </c>
      <c r="O71" s="19">
        <v>0</v>
      </c>
    </row>
    <row r="72" spans="1:15" ht="15" customHeight="1" x14ac:dyDescent="0.2">
      <c r="A72" s="25">
        <v>50</v>
      </c>
      <c r="B72" s="25" t="s">
        <v>262</v>
      </c>
      <c r="C72" s="19">
        <f t="shared" ref="C72:C88" si="2">SUM(D72:O72)</f>
        <v>275</v>
      </c>
      <c r="D72" s="19">
        <v>0</v>
      </c>
      <c r="E72" s="19">
        <v>0</v>
      </c>
      <c r="F72" s="19">
        <v>275</v>
      </c>
      <c r="G72" s="19">
        <v>0</v>
      </c>
      <c r="H72" s="19">
        <v>0</v>
      </c>
      <c r="I72" s="19">
        <v>0</v>
      </c>
      <c r="J72" s="19">
        <v>0</v>
      </c>
      <c r="K72" s="19">
        <v>0</v>
      </c>
      <c r="L72" s="19">
        <v>0</v>
      </c>
      <c r="M72" s="19">
        <v>0</v>
      </c>
      <c r="N72" s="19">
        <v>0</v>
      </c>
      <c r="O72" s="19">
        <v>0</v>
      </c>
    </row>
    <row r="73" spans="1:15" ht="15" customHeight="1" x14ac:dyDescent="0.2">
      <c r="A73" s="25">
        <v>50</v>
      </c>
      <c r="B73" s="25" t="s">
        <v>283</v>
      </c>
      <c r="C73" s="19">
        <f t="shared" si="2"/>
        <v>275</v>
      </c>
      <c r="D73" s="19">
        <v>0</v>
      </c>
      <c r="E73" s="19">
        <v>0</v>
      </c>
      <c r="F73" s="19">
        <v>0</v>
      </c>
      <c r="G73" s="19">
        <f>275</f>
        <v>275</v>
      </c>
      <c r="H73" s="19">
        <v>0</v>
      </c>
      <c r="I73" s="19">
        <v>0</v>
      </c>
      <c r="J73" s="19">
        <v>0</v>
      </c>
      <c r="K73" s="19">
        <v>0</v>
      </c>
      <c r="L73" s="19">
        <v>0</v>
      </c>
      <c r="M73" s="19">
        <v>0</v>
      </c>
      <c r="N73" s="19">
        <v>0</v>
      </c>
      <c r="O73" s="19">
        <v>0</v>
      </c>
    </row>
    <row r="74" spans="1:15" ht="15" customHeight="1" x14ac:dyDescent="0.2">
      <c r="A74" s="25">
        <v>51</v>
      </c>
      <c r="B74" s="25" t="s">
        <v>252</v>
      </c>
      <c r="C74" s="19">
        <f t="shared" si="2"/>
        <v>250</v>
      </c>
      <c r="D74" s="19">
        <v>250</v>
      </c>
      <c r="E74" s="19">
        <v>0</v>
      </c>
      <c r="F74" s="19">
        <v>0</v>
      </c>
      <c r="G74" s="19">
        <v>0</v>
      </c>
      <c r="H74" s="19">
        <v>0</v>
      </c>
      <c r="I74" s="19">
        <v>0</v>
      </c>
      <c r="J74" s="19">
        <v>0</v>
      </c>
      <c r="K74" s="19">
        <v>0</v>
      </c>
      <c r="L74" s="19">
        <v>0</v>
      </c>
      <c r="M74" s="19">
        <v>0</v>
      </c>
      <c r="N74" s="19">
        <v>0</v>
      </c>
      <c r="O74" s="19">
        <v>0</v>
      </c>
    </row>
    <row r="75" spans="1:15" ht="15" customHeight="1" x14ac:dyDescent="0.2">
      <c r="A75" s="25">
        <v>52</v>
      </c>
      <c r="B75" s="25" t="s">
        <v>264</v>
      </c>
      <c r="C75" s="19">
        <f t="shared" si="2"/>
        <v>225</v>
      </c>
      <c r="D75" s="19">
        <v>0</v>
      </c>
      <c r="E75" s="19">
        <v>0</v>
      </c>
      <c r="F75" s="19">
        <v>225</v>
      </c>
      <c r="G75" s="19">
        <v>0</v>
      </c>
      <c r="H75" s="19">
        <v>0</v>
      </c>
      <c r="I75" s="19">
        <v>0</v>
      </c>
      <c r="J75" s="19">
        <v>0</v>
      </c>
      <c r="K75" s="19">
        <v>0</v>
      </c>
      <c r="L75" s="19">
        <v>0</v>
      </c>
      <c r="M75" s="19">
        <v>0</v>
      </c>
      <c r="N75" s="19">
        <v>0</v>
      </c>
      <c r="O75" s="19">
        <v>0</v>
      </c>
    </row>
    <row r="76" spans="1:15" ht="15" customHeight="1" x14ac:dyDescent="0.2">
      <c r="A76" s="25">
        <v>53</v>
      </c>
      <c r="B76" s="25" t="s">
        <v>289</v>
      </c>
      <c r="C76" s="19">
        <f t="shared" si="2"/>
        <v>200</v>
      </c>
      <c r="D76" s="19">
        <v>0</v>
      </c>
      <c r="E76" s="19">
        <v>0</v>
      </c>
      <c r="F76" s="19">
        <v>0</v>
      </c>
      <c r="G76" s="19">
        <v>200</v>
      </c>
      <c r="H76" s="19">
        <v>0</v>
      </c>
      <c r="I76" s="19">
        <v>0</v>
      </c>
      <c r="J76" s="19">
        <v>0</v>
      </c>
      <c r="K76" s="19">
        <v>0</v>
      </c>
      <c r="L76" s="19">
        <v>0</v>
      </c>
      <c r="M76" s="19">
        <v>0</v>
      </c>
      <c r="N76" s="19">
        <v>0</v>
      </c>
      <c r="O76" s="19">
        <v>0</v>
      </c>
    </row>
    <row r="77" spans="1:15" ht="15" customHeight="1" x14ac:dyDescent="0.2">
      <c r="A77" s="25">
        <v>54</v>
      </c>
      <c r="B77" s="25" t="s">
        <v>284</v>
      </c>
      <c r="C77" s="19">
        <f t="shared" si="2"/>
        <v>175</v>
      </c>
      <c r="D77" s="19">
        <v>0</v>
      </c>
      <c r="E77" s="19">
        <v>0</v>
      </c>
      <c r="F77" s="19">
        <v>0</v>
      </c>
      <c r="G77" s="19">
        <f>175</f>
        <v>175</v>
      </c>
      <c r="H77" s="19">
        <v>0</v>
      </c>
      <c r="I77" s="19">
        <v>0</v>
      </c>
      <c r="J77" s="19">
        <v>0</v>
      </c>
      <c r="K77" s="19">
        <v>0</v>
      </c>
      <c r="L77" s="19">
        <v>0</v>
      </c>
      <c r="M77" s="19">
        <v>0</v>
      </c>
      <c r="N77" s="19">
        <v>0</v>
      </c>
      <c r="O77" s="19">
        <v>0</v>
      </c>
    </row>
    <row r="78" spans="1:15" ht="15" customHeight="1" x14ac:dyDescent="0.2">
      <c r="A78" s="25">
        <v>54</v>
      </c>
      <c r="B78" s="25" t="s">
        <v>254</v>
      </c>
      <c r="C78" s="19">
        <f t="shared" si="2"/>
        <v>175</v>
      </c>
      <c r="D78" s="19">
        <v>175</v>
      </c>
      <c r="E78" s="19">
        <v>0</v>
      </c>
      <c r="F78" s="19">
        <v>0</v>
      </c>
      <c r="G78" s="19">
        <v>0</v>
      </c>
      <c r="H78" s="19">
        <v>0</v>
      </c>
      <c r="I78" s="19">
        <v>0</v>
      </c>
      <c r="J78" s="19">
        <v>0</v>
      </c>
      <c r="K78" s="19">
        <v>0</v>
      </c>
      <c r="L78" s="19">
        <v>0</v>
      </c>
      <c r="M78" s="19">
        <v>0</v>
      </c>
      <c r="N78" s="19">
        <v>0</v>
      </c>
      <c r="O78" s="19">
        <v>0</v>
      </c>
    </row>
    <row r="79" spans="1:15" ht="15" customHeight="1" x14ac:dyDescent="0.2">
      <c r="A79" s="25">
        <v>55</v>
      </c>
      <c r="B79" s="25" t="s">
        <v>285</v>
      </c>
      <c r="C79" s="19">
        <f t="shared" si="2"/>
        <v>160</v>
      </c>
      <c r="D79" s="19">
        <v>0</v>
      </c>
      <c r="E79" s="19">
        <v>0</v>
      </c>
      <c r="F79" s="19">
        <v>0</v>
      </c>
      <c r="G79" s="19">
        <f>160</f>
        <v>160</v>
      </c>
      <c r="H79" s="19">
        <v>0</v>
      </c>
      <c r="I79" s="19">
        <v>0</v>
      </c>
      <c r="J79" s="19">
        <v>0</v>
      </c>
      <c r="K79" s="19">
        <v>0</v>
      </c>
      <c r="L79" s="19">
        <v>0</v>
      </c>
      <c r="M79" s="19">
        <v>0</v>
      </c>
      <c r="N79" s="19">
        <v>0</v>
      </c>
      <c r="O79" s="19">
        <v>0</v>
      </c>
    </row>
    <row r="80" spans="1:15" ht="15" customHeight="1" x14ac:dyDescent="0.2">
      <c r="A80" s="25">
        <v>56</v>
      </c>
      <c r="B80" s="25" t="s">
        <v>267</v>
      </c>
      <c r="C80" s="19">
        <f t="shared" si="2"/>
        <v>145</v>
      </c>
      <c r="D80" s="19">
        <v>0</v>
      </c>
      <c r="E80" s="19">
        <v>0</v>
      </c>
      <c r="F80" s="19">
        <v>145</v>
      </c>
      <c r="G80" s="19">
        <v>0</v>
      </c>
      <c r="H80" s="19">
        <v>0</v>
      </c>
      <c r="I80" s="19">
        <v>0</v>
      </c>
      <c r="J80" s="19">
        <v>0</v>
      </c>
      <c r="K80" s="19">
        <v>0</v>
      </c>
      <c r="L80" s="19">
        <v>0</v>
      </c>
      <c r="M80" s="19">
        <v>0</v>
      </c>
      <c r="N80" s="19">
        <v>0</v>
      </c>
      <c r="O80" s="19">
        <v>0</v>
      </c>
    </row>
    <row r="81" spans="1:15" ht="15" customHeight="1" x14ac:dyDescent="0.2">
      <c r="A81" s="25">
        <v>56</v>
      </c>
      <c r="B81" s="25" t="s">
        <v>301</v>
      </c>
      <c r="C81" s="19">
        <f t="shared" si="2"/>
        <v>145</v>
      </c>
      <c r="D81" s="19">
        <v>0</v>
      </c>
      <c r="E81" s="19">
        <v>0</v>
      </c>
      <c r="F81" s="19">
        <v>0</v>
      </c>
      <c r="G81" s="19">
        <v>0</v>
      </c>
      <c r="H81" s="19">
        <v>0</v>
      </c>
      <c r="I81" s="19">
        <v>145</v>
      </c>
      <c r="J81" s="19">
        <v>0</v>
      </c>
      <c r="K81" s="19">
        <v>0</v>
      </c>
      <c r="L81" s="19">
        <v>0</v>
      </c>
      <c r="M81" s="19">
        <v>0</v>
      </c>
      <c r="N81" s="19">
        <v>0</v>
      </c>
      <c r="O81" s="19">
        <v>0</v>
      </c>
    </row>
    <row r="82" spans="1:15" ht="15" customHeight="1" x14ac:dyDescent="0.2">
      <c r="A82" s="25">
        <v>56</v>
      </c>
      <c r="B82" s="25" t="s">
        <v>312</v>
      </c>
      <c r="C82" s="19">
        <f t="shared" si="2"/>
        <v>145</v>
      </c>
      <c r="D82" s="19">
        <v>0</v>
      </c>
      <c r="E82" s="19">
        <v>0</v>
      </c>
      <c r="F82" s="19">
        <v>0</v>
      </c>
      <c r="G82" s="19">
        <v>0</v>
      </c>
      <c r="H82" s="19">
        <v>0</v>
      </c>
      <c r="I82" s="19">
        <v>0</v>
      </c>
      <c r="J82" s="19">
        <v>0</v>
      </c>
      <c r="K82" s="19">
        <v>145</v>
      </c>
      <c r="L82" s="19">
        <v>0</v>
      </c>
      <c r="M82" s="19">
        <v>0</v>
      </c>
      <c r="N82" s="19">
        <v>0</v>
      </c>
      <c r="O82" s="19">
        <v>0</v>
      </c>
    </row>
    <row r="83" spans="1:15" ht="15" customHeight="1" x14ac:dyDescent="0.2">
      <c r="A83" s="25">
        <v>56</v>
      </c>
      <c r="B83" s="25" t="s">
        <v>255</v>
      </c>
      <c r="C83" s="19">
        <f t="shared" si="2"/>
        <v>145</v>
      </c>
      <c r="D83" s="19">
        <v>145</v>
      </c>
      <c r="E83" s="19">
        <v>0</v>
      </c>
      <c r="F83" s="19">
        <v>0</v>
      </c>
      <c r="G83" s="19">
        <v>0</v>
      </c>
      <c r="H83" s="19">
        <v>0</v>
      </c>
      <c r="I83" s="19">
        <v>0</v>
      </c>
      <c r="J83" s="19">
        <v>0</v>
      </c>
      <c r="K83" s="19">
        <v>0</v>
      </c>
      <c r="L83" s="19">
        <v>0</v>
      </c>
      <c r="M83" s="19">
        <v>0</v>
      </c>
      <c r="N83" s="19">
        <v>0</v>
      </c>
      <c r="O83" s="19">
        <v>0</v>
      </c>
    </row>
    <row r="84" spans="1:15" ht="15" customHeight="1" x14ac:dyDescent="0.2">
      <c r="A84" s="25">
        <v>56</v>
      </c>
      <c r="B84" s="25" t="s">
        <v>308</v>
      </c>
      <c r="C84" s="19">
        <f t="shared" si="2"/>
        <v>145</v>
      </c>
      <c r="D84" s="19">
        <v>0</v>
      </c>
      <c r="E84" s="19">
        <v>0</v>
      </c>
      <c r="F84" s="19">
        <v>0</v>
      </c>
      <c r="G84" s="19">
        <v>0</v>
      </c>
      <c r="H84" s="19">
        <v>0</v>
      </c>
      <c r="I84" s="19">
        <v>0</v>
      </c>
      <c r="J84" s="19">
        <v>145</v>
      </c>
      <c r="K84" s="19">
        <v>0</v>
      </c>
      <c r="L84" s="19">
        <v>0</v>
      </c>
      <c r="M84" s="19">
        <v>0</v>
      </c>
      <c r="N84" s="19">
        <v>0</v>
      </c>
      <c r="O84" s="19">
        <v>0</v>
      </c>
    </row>
    <row r="85" spans="1:15" ht="15" customHeight="1" x14ac:dyDescent="0.2">
      <c r="A85" s="25">
        <v>57</v>
      </c>
      <c r="B85" s="25" t="s">
        <v>325</v>
      </c>
      <c r="C85" s="19">
        <f t="shared" si="2"/>
        <v>130</v>
      </c>
      <c r="D85" s="19">
        <v>0</v>
      </c>
      <c r="E85" s="19">
        <v>0</v>
      </c>
      <c r="F85" s="19">
        <v>0</v>
      </c>
      <c r="G85" s="19">
        <v>0</v>
      </c>
      <c r="H85" s="19">
        <v>0</v>
      </c>
      <c r="I85" s="19">
        <v>0</v>
      </c>
      <c r="J85" s="19">
        <v>0</v>
      </c>
      <c r="K85" s="19">
        <v>0</v>
      </c>
      <c r="L85" s="19">
        <v>0</v>
      </c>
      <c r="M85" s="19">
        <v>0</v>
      </c>
      <c r="N85" s="19">
        <f>130</f>
        <v>130</v>
      </c>
      <c r="O85" s="19">
        <v>0</v>
      </c>
    </row>
    <row r="86" spans="1:15" ht="15" customHeight="1" x14ac:dyDescent="0.2">
      <c r="A86" s="25">
        <v>57</v>
      </c>
      <c r="B86" s="25" t="s">
        <v>311</v>
      </c>
      <c r="C86" s="19">
        <f t="shared" si="2"/>
        <v>130</v>
      </c>
      <c r="D86" s="19">
        <v>0</v>
      </c>
      <c r="E86" s="19">
        <v>0</v>
      </c>
      <c r="F86" s="19">
        <v>0</v>
      </c>
      <c r="G86" s="19">
        <v>0</v>
      </c>
      <c r="H86" s="19">
        <v>0</v>
      </c>
      <c r="I86" s="19">
        <v>0</v>
      </c>
      <c r="J86" s="19">
        <v>0</v>
      </c>
      <c r="K86" s="19">
        <f>130</f>
        <v>130</v>
      </c>
      <c r="L86" s="19">
        <v>0</v>
      </c>
      <c r="M86" s="19">
        <v>0</v>
      </c>
      <c r="N86" s="19">
        <v>0</v>
      </c>
      <c r="O86" s="19">
        <v>0</v>
      </c>
    </row>
    <row r="87" spans="1:15" ht="15" customHeight="1" x14ac:dyDescent="0.2">
      <c r="A87" s="25">
        <v>57</v>
      </c>
      <c r="B87" s="25" t="s">
        <v>256</v>
      </c>
      <c r="C87" s="19">
        <f t="shared" si="2"/>
        <v>130</v>
      </c>
      <c r="D87" s="19">
        <v>130</v>
      </c>
      <c r="E87" s="19">
        <v>0</v>
      </c>
      <c r="F87" s="19">
        <v>0</v>
      </c>
      <c r="G87" s="19">
        <v>0</v>
      </c>
      <c r="H87" s="19">
        <v>0</v>
      </c>
      <c r="I87" s="19">
        <v>0</v>
      </c>
      <c r="J87" s="19">
        <v>0</v>
      </c>
      <c r="K87" s="19">
        <v>0</v>
      </c>
      <c r="L87" s="19">
        <v>0</v>
      </c>
      <c r="M87" s="19">
        <v>0</v>
      </c>
      <c r="N87" s="19">
        <v>0</v>
      </c>
      <c r="O87" s="19">
        <v>0</v>
      </c>
    </row>
    <row r="88" spans="1:15" ht="15" customHeight="1" x14ac:dyDescent="0.2">
      <c r="A88" s="25">
        <v>58</v>
      </c>
      <c r="B88" s="25" t="s">
        <v>269</v>
      </c>
      <c r="C88" s="19">
        <f t="shared" si="2"/>
        <v>115</v>
      </c>
      <c r="D88" s="19">
        <v>0</v>
      </c>
      <c r="E88" s="19">
        <v>0</v>
      </c>
      <c r="F88" s="19">
        <v>115</v>
      </c>
      <c r="G88" s="19">
        <v>0</v>
      </c>
      <c r="H88" s="19">
        <v>0</v>
      </c>
      <c r="I88" s="19">
        <v>0</v>
      </c>
      <c r="J88" s="19">
        <v>0</v>
      </c>
      <c r="K88" s="19">
        <v>0</v>
      </c>
      <c r="L88" s="19">
        <v>0</v>
      </c>
      <c r="M88" s="19">
        <v>0</v>
      </c>
      <c r="N88" s="19">
        <v>0</v>
      </c>
      <c r="O88" s="19">
        <v>0</v>
      </c>
    </row>
    <row r="90" spans="1:15" ht="18.75" customHeight="1" x14ac:dyDescent="0.25">
      <c r="A90" s="48" t="s">
        <v>3</v>
      </c>
      <c r="B90" s="49"/>
      <c r="C90" s="49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</row>
    <row r="91" spans="1:15" ht="18.75" customHeight="1" x14ac:dyDescent="0.25">
      <c r="A91" s="50" t="s">
        <v>4</v>
      </c>
      <c r="B91" s="51"/>
      <c r="C91" s="51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</row>
    <row r="92" spans="1:15" ht="18.75" customHeight="1" x14ac:dyDescent="0.25">
      <c r="A92" s="52" t="s">
        <v>5</v>
      </c>
      <c r="B92" s="53"/>
      <c r="C92" s="53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</row>
  </sheetData>
  <sortState ref="A8:O88">
    <sortCondition descending="1" ref="C8:C88"/>
  </sortState>
  <mergeCells count="9">
    <mergeCell ref="A90:C90"/>
    <mergeCell ref="A91:C91"/>
    <mergeCell ref="A92:C92"/>
    <mergeCell ref="A1:O1"/>
    <mergeCell ref="A2:O2"/>
    <mergeCell ref="A3:O3"/>
    <mergeCell ref="A4:O4"/>
    <mergeCell ref="A5:O5"/>
    <mergeCell ref="A6:O6"/>
  </mergeCells>
  <pageMargins left="0.7" right="0.7" top="0.75" bottom="0.75" header="0.3" footer="0.3"/>
  <pageSetup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9"/>
  <sheetViews>
    <sheetView workbookViewId="0">
      <selection activeCell="C8" sqref="C8"/>
    </sheetView>
  </sheetViews>
  <sheetFormatPr defaultRowHeight="12.75" x14ac:dyDescent="0.2"/>
  <cols>
    <col min="1" max="1" width="8.42578125" customWidth="1"/>
    <col min="2" max="2" width="26.28515625" customWidth="1"/>
    <col min="3" max="3" width="9.5703125" customWidth="1"/>
    <col min="4" max="15" width="6.7109375" customWidth="1"/>
    <col min="16" max="16" width="8.7109375" customWidth="1"/>
  </cols>
  <sheetData>
    <row r="1" spans="1:15" ht="126" customHeight="1" x14ac:dyDescent="0.2">
      <c r="A1" s="36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</row>
    <row r="2" spans="1:15" ht="45" customHeight="1" x14ac:dyDescent="0.5">
      <c r="A2" s="54" t="s">
        <v>225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</row>
    <row r="3" spans="1:15" ht="40.5" customHeight="1" x14ac:dyDescent="0.4">
      <c r="A3" s="55" t="s">
        <v>224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</row>
    <row r="4" spans="1:15" ht="9.75" customHeight="1" x14ac:dyDescent="0.4">
      <c r="A4" s="55"/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</row>
    <row r="5" spans="1:15" ht="30" customHeight="1" x14ac:dyDescent="0.4">
      <c r="A5" s="57" t="s">
        <v>9</v>
      </c>
      <c r="B5" s="58"/>
      <c r="C5" s="58"/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</row>
    <row r="6" spans="1:15" ht="16.5" customHeight="1" x14ac:dyDescent="0.2">
      <c r="A6" s="38"/>
      <c r="B6" s="38"/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</row>
    <row r="7" spans="1:15" ht="15" customHeight="1" x14ac:dyDescent="0.25">
      <c r="A7" s="1" t="s">
        <v>1</v>
      </c>
      <c r="B7" s="1" t="s">
        <v>0</v>
      </c>
      <c r="C7" s="1" t="s">
        <v>2</v>
      </c>
      <c r="D7" s="2">
        <v>45641</v>
      </c>
      <c r="E7" s="2">
        <v>45655</v>
      </c>
      <c r="F7" s="2">
        <v>45296</v>
      </c>
      <c r="G7" s="2">
        <v>45303</v>
      </c>
      <c r="H7" s="2">
        <v>45310</v>
      </c>
      <c r="I7" s="2">
        <v>45317</v>
      </c>
      <c r="J7" s="2">
        <v>45324</v>
      </c>
      <c r="K7" s="2">
        <v>45331</v>
      </c>
      <c r="L7" s="2">
        <v>45338</v>
      </c>
      <c r="M7" s="2">
        <v>45718</v>
      </c>
      <c r="N7" s="2">
        <v>45725</v>
      </c>
      <c r="O7" s="2">
        <v>45732</v>
      </c>
    </row>
    <row r="8" spans="1:15" ht="15" customHeight="1" x14ac:dyDescent="0.2">
      <c r="A8" s="6">
        <v>1</v>
      </c>
      <c r="B8" s="6" t="s">
        <v>189</v>
      </c>
      <c r="C8" s="7">
        <f t="shared" ref="C8:C39" si="0">SUM(D8:O8)</f>
        <v>3900</v>
      </c>
      <c r="D8" s="8">
        <v>375</v>
      </c>
      <c r="E8" s="8">
        <v>0</v>
      </c>
      <c r="F8" s="8">
        <v>375</v>
      </c>
      <c r="G8" s="8">
        <v>575</v>
      </c>
      <c r="H8" s="8">
        <v>0</v>
      </c>
      <c r="I8" s="8">
        <v>475</v>
      </c>
      <c r="J8" s="8">
        <v>425</v>
      </c>
      <c r="K8" s="8">
        <v>0</v>
      </c>
      <c r="L8" s="8">
        <v>425</v>
      </c>
      <c r="M8" s="8">
        <v>475</v>
      </c>
      <c r="N8" s="8">
        <v>425</v>
      </c>
      <c r="O8" s="8">
        <v>350</v>
      </c>
    </row>
    <row r="9" spans="1:15" ht="15" customHeight="1" x14ac:dyDescent="0.2">
      <c r="A9" s="6">
        <v>2</v>
      </c>
      <c r="B9" s="6" t="s">
        <v>192</v>
      </c>
      <c r="C9" s="7">
        <f t="shared" si="0"/>
        <v>3875</v>
      </c>
      <c r="D9" s="8">
        <v>275</v>
      </c>
      <c r="E9" s="8">
        <v>350</v>
      </c>
      <c r="F9" s="8">
        <v>425</v>
      </c>
      <c r="G9" s="8">
        <v>350</v>
      </c>
      <c r="H9" s="8">
        <v>425</v>
      </c>
      <c r="I9" s="8">
        <v>350</v>
      </c>
      <c r="J9" s="8">
        <v>375</v>
      </c>
      <c r="K9" s="8">
        <v>0</v>
      </c>
      <c r="L9" s="8">
        <v>375</v>
      </c>
      <c r="M9" s="8">
        <v>300</v>
      </c>
      <c r="N9" s="8">
        <v>375</v>
      </c>
      <c r="O9" s="8">
        <v>275</v>
      </c>
    </row>
    <row r="10" spans="1:15" ht="15" customHeight="1" x14ac:dyDescent="0.2">
      <c r="A10" s="6">
        <v>3</v>
      </c>
      <c r="B10" s="6" t="s">
        <v>204</v>
      </c>
      <c r="C10" s="7">
        <f t="shared" si="0"/>
        <v>2390</v>
      </c>
      <c r="D10" s="8">
        <v>0</v>
      </c>
      <c r="E10" s="8">
        <v>0</v>
      </c>
      <c r="F10" s="8">
        <v>0</v>
      </c>
      <c r="G10" s="8">
        <v>425</v>
      </c>
      <c r="H10" s="8">
        <v>375</v>
      </c>
      <c r="I10" s="8">
        <v>275</v>
      </c>
      <c r="J10" s="8">
        <v>300</v>
      </c>
      <c r="K10" s="8">
        <v>425</v>
      </c>
      <c r="L10" s="8">
        <v>475</v>
      </c>
      <c r="M10" s="8">
        <v>0</v>
      </c>
      <c r="N10" s="8">
        <v>115</v>
      </c>
      <c r="O10" s="8">
        <v>0</v>
      </c>
    </row>
    <row r="11" spans="1:15" ht="15" customHeight="1" x14ac:dyDescent="0.2">
      <c r="A11" s="6">
        <v>4</v>
      </c>
      <c r="B11" s="6" t="s">
        <v>193</v>
      </c>
      <c r="C11" s="7">
        <f t="shared" si="0"/>
        <v>2200</v>
      </c>
      <c r="D11" s="8">
        <v>250</v>
      </c>
      <c r="E11" s="8">
        <v>325</v>
      </c>
      <c r="F11" s="8">
        <v>350</v>
      </c>
      <c r="G11" s="8">
        <v>225</v>
      </c>
      <c r="H11" s="8">
        <v>0</v>
      </c>
      <c r="I11" s="8">
        <v>575</v>
      </c>
      <c r="J11" s="8">
        <v>225</v>
      </c>
      <c r="K11" s="8">
        <v>0</v>
      </c>
      <c r="L11" s="8">
        <v>250</v>
      </c>
      <c r="M11" s="8">
        <v>0</v>
      </c>
      <c r="N11" s="8">
        <v>0</v>
      </c>
      <c r="O11" s="8">
        <v>0</v>
      </c>
    </row>
    <row r="12" spans="1:15" ht="15" customHeight="1" x14ac:dyDescent="0.2">
      <c r="A12" s="6">
        <v>5</v>
      </c>
      <c r="B12" s="6" t="s">
        <v>199</v>
      </c>
      <c r="C12" s="7">
        <f t="shared" si="0"/>
        <v>2175</v>
      </c>
      <c r="D12" s="8">
        <v>0</v>
      </c>
      <c r="E12" s="8">
        <v>0</v>
      </c>
      <c r="F12" s="8">
        <v>575</v>
      </c>
      <c r="G12" s="8">
        <v>375</v>
      </c>
      <c r="H12" s="8">
        <v>250</v>
      </c>
      <c r="I12" s="8">
        <v>425</v>
      </c>
      <c r="J12" s="8">
        <v>325</v>
      </c>
      <c r="K12" s="8">
        <v>0</v>
      </c>
      <c r="L12" s="8">
        <v>0</v>
      </c>
      <c r="M12" s="8">
        <v>0</v>
      </c>
      <c r="N12" s="8">
        <v>0</v>
      </c>
      <c r="O12" s="8">
        <v>225</v>
      </c>
    </row>
    <row r="13" spans="1:15" ht="15" customHeight="1" x14ac:dyDescent="0.2">
      <c r="A13" s="6">
        <v>6</v>
      </c>
      <c r="B13" s="6" t="s">
        <v>187</v>
      </c>
      <c r="C13" s="7">
        <f t="shared" si="0"/>
        <v>2000</v>
      </c>
      <c r="D13" s="8">
        <v>475</v>
      </c>
      <c r="E13" s="8">
        <v>0</v>
      </c>
      <c r="F13" s="8">
        <v>0</v>
      </c>
      <c r="G13" s="8">
        <v>0</v>
      </c>
      <c r="H13" s="8">
        <v>575</v>
      </c>
      <c r="I13" s="8">
        <v>0</v>
      </c>
      <c r="J13" s="8">
        <v>475</v>
      </c>
      <c r="K13" s="8">
        <v>0</v>
      </c>
      <c r="L13" s="8">
        <v>0</v>
      </c>
      <c r="M13" s="8">
        <v>0</v>
      </c>
      <c r="N13" s="8">
        <v>475</v>
      </c>
      <c r="O13" s="8">
        <v>0</v>
      </c>
    </row>
    <row r="14" spans="1:15" ht="15" customHeight="1" x14ac:dyDescent="0.2">
      <c r="A14" s="6">
        <v>7</v>
      </c>
      <c r="B14" s="6" t="s">
        <v>191</v>
      </c>
      <c r="C14" s="7">
        <f t="shared" si="0"/>
        <v>1850</v>
      </c>
      <c r="D14" s="8">
        <v>300</v>
      </c>
      <c r="E14" s="8">
        <v>475</v>
      </c>
      <c r="F14" s="8">
        <v>475</v>
      </c>
      <c r="G14" s="8">
        <v>275</v>
      </c>
      <c r="H14" s="8">
        <v>0</v>
      </c>
      <c r="I14" s="8">
        <v>325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</row>
    <row r="15" spans="1:15" ht="15" customHeight="1" x14ac:dyDescent="0.2">
      <c r="A15" s="6">
        <v>8</v>
      </c>
      <c r="B15" s="6" t="s">
        <v>201</v>
      </c>
      <c r="C15" s="7">
        <f t="shared" si="0"/>
        <v>1650</v>
      </c>
      <c r="D15" s="8">
        <v>0</v>
      </c>
      <c r="E15" s="8">
        <v>0</v>
      </c>
      <c r="F15" s="8">
        <v>250</v>
      </c>
      <c r="G15" s="8">
        <v>300</v>
      </c>
      <c r="H15" s="8">
        <v>0</v>
      </c>
      <c r="I15" s="8">
        <v>0</v>
      </c>
      <c r="J15" s="8">
        <v>350</v>
      </c>
      <c r="K15" s="8">
        <v>475</v>
      </c>
      <c r="L15" s="8">
        <v>0</v>
      </c>
      <c r="M15" s="8">
        <v>0</v>
      </c>
      <c r="N15" s="8">
        <v>275</v>
      </c>
      <c r="O15" s="8">
        <v>0</v>
      </c>
    </row>
    <row r="16" spans="1:15" ht="15" customHeight="1" x14ac:dyDescent="0.2">
      <c r="A16" s="6">
        <v>9</v>
      </c>
      <c r="B16" s="6" t="s">
        <v>186</v>
      </c>
      <c r="C16" s="7">
        <f t="shared" si="0"/>
        <v>1500</v>
      </c>
      <c r="D16" s="8">
        <v>575</v>
      </c>
      <c r="E16" s="8">
        <v>0</v>
      </c>
      <c r="F16" s="8">
        <v>0</v>
      </c>
      <c r="G16" s="8">
        <v>0</v>
      </c>
      <c r="H16" s="8">
        <v>350</v>
      </c>
      <c r="I16" s="8">
        <v>0</v>
      </c>
      <c r="J16" s="8">
        <v>575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</row>
    <row r="17" spans="1:15" ht="15" customHeight="1" x14ac:dyDescent="0.2">
      <c r="A17" s="6">
        <v>10</v>
      </c>
      <c r="B17" s="6" t="s">
        <v>196</v>
      </c>
      <c r="C17" s="7">
        <f t="shared" si="0"/>
        <v>1350</v>
      </c>
      <c r="D17" s="8">
        <v>0</v>
      </c>
      <c r="E17" s="8">
        <v>425</v>
      </c>
      <c r="F17" s="8">
        <v>325</v>
      </c>
      <c r="G17" s="8">
        <v>325</v>
      </c>
      <c r="H17" s="8">
        <v>0</v>
      </c>
      <c r="I17" s="8">
        <v>0</v>
      </c>
      <c r="J17" s="8">
        <v>275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</row>
    <row r="18" spans="1:15" ht="15" customHeight="1" x14ac:dyDescent="0.2">
      <c r="A18" s="6">
        <v>11</v>
      </c>
      <c r="B18" s="6" t="s">
        <v>190</v>
      </c>
      <c r="C18" s="8">
        <f t="shared" si="0"/>
        <v>1175</v>
      </c>
      <c r="D18" s="8">
        <v>325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  <c r="M18" s="8">
        <v>350</v>
      </c>
      <c r="N18" s="8">
        <v>300</v>
      </c>
      <c r="O18" s="8">
        <v>200</v>
      </c>
    </row>
    <row r="19" spans="1:15" ht="15" customHeight="1" x14ac:dyDescent="0.2">
      <c r="A19" s="6">
        <v>12</v>
      </c>
      <c r="B19" s="6" t="s">
        <v>79</v>
      </c>
      <c r="C19" s="8">
        <f t="shared" si="0"/>
        <v>1100</v>
      </c>
      <c r="D19" s="8">
        <v>350</v>
      </c>
      <c r="E19" s="8">
        <v>0</v>
      </c>
      <c r="F19" s="8">
        <v>275</v>
      </c>
      <c r="G19" s="8">
        <v>0</v>
      </c>
      <c r="H19" s="8">
        <v>475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</row>
    <row r="20" spans="1:15" ht="15" customHeight="1" x14ac:dyDescent="0.2">
      <c r="A20" s="6">
        <v>13</v>
      </c>
      <c r="B20" s="6" t="s">
        <v>215</v>
      </c>
      <c r="C20" s="8">
        <f t="shared" si="0"/>
        <v>950</v>
      </c>
      <c r="D20" s="8">
        <v>0</v>
      </c>
      <c r="E20" s="8">
        <v>0</v>
      </c>
      <c r="F20" s="8">
        <v>0</v>
      </c>
      <c r="G20" s="8">
        <v>200</v>
      </c>
      <c r="H20" s="8">
        <v>0</v>
      </c>
      <c r="I20" s="8">
        <v>375</v>
      </c>
      <c r="J20" s="8">
        <v>0</v>
      </c>
      <c r="K20" s="8">
        <v>375</v>
      </c>
      <c r="L20" s="8">
        <v>0</v>
      </c>
      <c r="M20" s="8">
        <v>0</v>
      </c>
      <c r="N20" s="8">
        <v>0</v>
      </c>
      <c r="O20" s="8">
        <v>0</v>
      </c>
    </row>
    <row r="21" spans="1:15" ht="15" customHeight="1" x14ac:dyDescent="0.2">
      <c r="A21" s="6">
        <v>13</v>
      </c>
      <c r="B21" s="6" t="s">
        <v>228</v>
      </c>
      <c r="C21" s="8">
        <f t="shared" si="0"/>
        <v>950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425</v>
      </c>
      <c r="N21" s="8">
        <v>200</v>
      </c>
      <c r="O21" s="8">
        <v>325</v>
      </c>
    </row>
    <row r="22" spans="1:15" ht="15" customHeight="1" x14ac:dyDescent="0.2">
      <c r="A22" s="6">
        <v>14</v>
      </c>
      <c r="B22" s="6" t="s">
        <v>229</v>
      </c>
      <c r="C22" s="8">
        <f t="shared" si="0"/>
        <v>750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375</v>
      </c>
      <c r="N22" s="8">
        <v>0</v>
      </c>
      <c r="O22" s="8">
        <v>375</v>
      </c>
    </row>
    <row r="23" spans="1:15" ht="15" customHeight="1" x14ac:dyDescent="0.2">
      <c r="A23" s="6">
        <v>15</v>
      </c>
      <c r="B23" s="6" t="s">
        <v>197</v>
      </c>
      <c r="C23" s="8">
        <f t="shared" si="0"/>
        <v>725</v>
      </c>
      <c r="D23" s="8">
        <v>0</v>
      </c>
      <c r="E23" s="8">
        <v>375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350</v>
      </c>
      <c r="L23" s="8">
        <v>0</v>
      </c>
      <c r="M23" s="8">
        <v>0</v>
      </c>
      <c r="N23" s="8">
        <v>0</v>
      </c>
      <c r="O23" s="8">
        <v>0</v>
      </c>
    </row>
    <row r="24" spans="1:15" ht="15" customHeight="1" x14ac:dyDescent="0.2">
      <c r="A24" s="6">
        <v>16</v>
      </c>
      <c r="B24" s="6" t="s">
        <v>231</v>
      </c>
      <c r="C24" s="8">
        <f t="shared" si="0"/>
        <v>720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575</v>
      </c>
      <c r="O24" s="8">
        <v>145</v>
      </c>
    </row>
    <row r="25" spans="1:15" ht="15" customHeight="1" x14ac:dyDescent="0.2">
      <c r="A25" s="6">
        <v>17</v>
      </c>
      <c r="B25" s="6" t="s">
        <v>205</v>
      </c>
      <c r="C25" s="8">
        <f t="shared" si="0"/>
        <v>650</v>
      </c>
      <c r="D25" s="8">
        <v>0</v>
      </c>
      <c r="E25" s="8">
        <v>0</v>
      </c>
      <c r="F25" s="8">
        <v>0</v>
      </c>
      <c r="G25" s="8">
        <v>250</v>
      </c>
      <c r="H25" s="8">
        <v>200</v>
      </c>
      <c r="I25" s="8">
        <v>0</v>
      </c>
      <c r="J25" s="8">
        <v>200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</row>
    <row r="26" spans="1:15" ht="15" customHeight="1" x14ac:dyDescent="0.2">
      <c r="A26" s="6">
        <v>18</v>
      </c>
      <c r="B26" s="6" t="s">
        <v>216</v>
      </c>
      <c r="C26" s="8">
        <f t="shared" si="0"/>
        <v>575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300</v>
      </c>
      <c r="J26" s="8">
        <v>0</v>
      </c>
      <c r="K26" s="8">
        <v>0</v>
      </c>
      <c r="L26" s="8">
        <v>275</v>
      </c>
      <c r="M26" s="8">
        <v>0</v>
      </c>
      <c r="N26" s="8">
        <v>0</v>
      </c>
      <c r="O26" s="8">
        <v>0</v>
      </c>
    </row>
    <row r="27" spans="1:15" ht="15" customHeight="1" x14ac:dyDescent="0.2">
      <c r="A27" s="6">
        <v>18</v>
      </c>
      <c r="B27" s="6" t="s">
        <v>239</v>
      </c>
      <c r="C27" s="8">
        <f t="shared" si="0"/>
        <v>575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575</v>
      </c>
    </row>
    <row r="28" spans="1:15" ht="15" customHeight="1" x14ac:dyDescent="0.2">
      <c r="A28" s="6">
        <v>18</v>
      </c>
      <c r="B28" s="6" t="s">
        <v>219</v>
      </c>
      <c r="C28" s="8">
        <f t="shared" si="0"/>
        <v>575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575</v>
      </c>
      <c r="L28" s="8">
        <v>0</v>
      </c>
      <c r="M28" s="8">
        <v>0</v>
      </c>
      <c r="N28" s="8">
        <v>0</v>
      </c>
      <c r="O28" s="8">
        <v>0</v>
      </c>
    </row>
    <row r="29" spans="1:15" ht="15" customHeight="1" x14ac:dyDescent="0.2">
      <c r="A29" s="6">
        <v>18</v>
      </c>
      <c r="B29" s="6" t="s">
        <v>195</v>
      </c>
      <c r="C29" s="8">
        <f t="shared" si="0"/>
        <v>575</v>
      </c>
      <c r="D29" s="8">
        <v>0</v>
      </c>
      <c r="E29" s="8">
        <v>575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</row>
    <row r="30" spans="1:15" ht="15" customHeight="1" x14ac:dyDescent="0.2">
      <c r="A30" s="6">
        <v>18</v>
      </c>
      <c r="B30" s="6" t="s">
        <v>227</v>
      </c>
      <c r="C30" s="8">
        <f t="shared" si="0"/>
        <v>575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575</v>
      </c>
      <c r="N30" s="8">
        <v>0</v>
      </c>
      <c r="O30" s="8">
        <v>0</v>
      </c>
    </row>
    <row r="31" spans="1:15" ht="15" customHeight="1" x14ac:dyDescent="0.2">
      <c r="A31" s="6">
        <v>18</v>
      </c>
      <c r="B31" s="6" t="s">
        <v>221</v>
      </c>
      <c r="C31" s="8">
        <f t="shared" si="0"/>
        <v>575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575</v>
      </c>
      <c r="M31" s="8">
        <v>0</v>
      </c>
      <c r="N31" s="8">
        <v>0</v>
      </c>
      <c r="O31" s="8">
        <v>0</v>
      </c>
    </row>
    <row r="32" spans="1:15" ht="15" customHeight="1" x14ac:dyDescent="0.2">
      <c r="A32" s="6">
        <v>19</v>
      </c>
      <c r="B32" s="6" t="s">
        <v>238</v>
      </c>
      <c r="C32" s="8">
        <f t="shared" si="0"/>
        <v>555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130</v>
      </c>
      <c r="O32" s="8">
        <v>425</v>
      </c>
    </row>
    <row r="33" spans="1:15" ht="15" customHeight="1" x14ac:dyDescent="0.2">
      <c r="A33" s="6">
        <v>20</v>
      </c>
      <c r="B33" s="6" t="s">
        <v>217</v>
      </c>
      <c r="C33" s="8">
        <f t="shared" si="0"/>
        <v>500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175</v>
      </c>
      <c r="K33" s="8">
        <v>0</v>
      </c>
      <c r="L33" s="8">
        <v>325</v>
      </c>
      <c r="M33" s="8">
        <v>0</v>
      </c>
      <c r="N33" s="8">
        <v>0</v>
      </c>
      <c r="O33" s="8">
        <v>0</v>
      </c>
    </row>
    <row r="34" spans="1:15" ht="15" customHeight="1" x14ac:dyDescent="0.2">
      <c r="A34" s="6">
        <v>21</v>
      </c>
      <c r="B34" s="6" t="s">
        <v>134</v>
      </c>
      <c r="C34" s="8">
        <f t="shared" si="0"/>
        <v>475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475</v>
      </c>
    </row>
    <row r="35" spans="1:15" ht="15" customHeight="1" x14ac:dyDescent="0.2">
      <c r="A35" s="6">
        <v>21</v>
      </c>
      <c r="B35" s="6" t="s">
        <v>218</v>
      </c>
      <c r="C35" s="8">
        <f t="shared" si="0"/>
        <v>475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250</v>
      </c>
      <c r="K35" s="8">
        <v>0</v>
      </c>
      <c r="L35" s="8">
        <v>0</v>
      </c>
      <c r="M35" s="8">
        <v>0</v>
      </c>
      <c r="N35" s="8">
        <v>225</v>
      </c>
      <c r="O35" s="8">
        <v>0</v>
      </c>
    </row>
    <row r="36" spans="1:15" ht="15" customHeight="1" x14ac:dyDescent="0.2">
      <c r="A36" s="6">
        <v>21</v>
      </c>
      <c r="B36" s="6" t="s">
        <v>203</v>
      </c>
      <c r="C36" s="8">
        <f t="shared" si="0"/>
        <v>475</v>
      </c>
      <c r="D36" s="8">
        <v>0</v>
      </c>
      <c r="E36" s="8">
        <v>0</v>
      </c>
      <c r="F36" s="8">
        <v>0</v>
      </c>
      <c r="G36" s="8">
        <v>475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</row>
    <row r="37" spans="1:15" ht="15" customHeight="1" x14ac:dyDescent="0.2">
      <c r="A37" s="6">
        <v>22</v>
      </c>
      <c r="B37" s="6" t="s">
        <v>223</v>
      </c>
      <c r="C37" s="8">
        <f t="shared" si="0"/>
        <v>430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300</v>
      </c>
      <c r="M37" s="8">
        <v>0</v>
      </c>
      <c r="N37" s="8">
        <v>0</v>
      </c>
      <c r="O37" s="8">
        <v>130</v>
      </c>
    </row>
    <row r="38" spans="1:15" ht="15" customHeight="1" x14ac:dyDescent="0.2">
      <c r="A38" s="6">
        <v>23</v>
      </c>
      <c r="B38" s="6" t="s">
        <v>188</v>
      </c>
      <c r="C38" s="8">
        <f t="shared" si="0"/>
        <v>425</v>
      </c>
      <c r="D38" s="8">
        <v>425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</row>
    <row r="39" spans="1:15" ht="15" customHeight="1" x14ac:dyDescent="0.2">
      <c r="A39" s="6">
        <v>24</v>
      </c>
      <c r="B39" s="6" t="s">
        <v>232</v>
      </c>
      <c r="C39" s="8">
        <f t="shared" si="0"/>
        <v>350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350</v>
      </c>
      <c r="O39" s="8">
        <v>0</v>
      </c>
    </row>
    <row r="40" spans="1:15" ht="15" customHeight="1" x14ac:dyDescent="0.2">
      <c r="A40" s="6">
        <v>24</v>
      </c>
      <c r="B40" s="6" t="s">
        <v>222</v>
      </c>
      <c r="C40" s="8">
        <f t="shared" ref="C40:C65" si="1">SUM(D40:O40)</f>
        <v>350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350</v>
      </c>
      <c r="M40" s="8">
        <v>0</v>
      </c>
      <c r="N40" s="8">
        <v>0</v>
      </c>
      <c r="O40" s="8">
        <v>0</v>
      </c>
    </row>
    <row r="41" spans="1:15" ht="15" customHeight="1" x14ac:dyDescent="0.2">
      <c r="A41" s="6">
        <v>24</v>
      </c>
      <c r="B41" s="6" t="s">
        <v>235</v>
      </c>
      <c r="C41" s="8">
        <f t="shared" si="1"/>
        <v>350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175</v>
      </c>
      <c r="O41" s="8">
        <v>175</v>
      </c>
    </row>
    <row r="42" spans="1:15" ht="15" customHeight="1" x14ac:dyDescent="0.2">
      <c r="A42" s="6">
        <v>25</v>
      </c>
      <c r="B42" s="6" t="s">
        <v>233</v>
      </c>
      <c r="C42" s="8">
        <f t="shared" si="1"/>
        <v>325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325</v>
      </c>
      <c r="O42" s="8">
        <v>0</v>
      </c>
    </row>
    <row r="43" spans="1:15" ht="15" customHeight="1" x14ac:dyDescent="0.2">
      <c r="A43" s="6">
        <v>25</v>
      </c>
      <c r="B43" s="6" t="s">
        <v>220</v>
      </c>
      <c r="C43" s="8">
        <f t="shared" si="1"/>
        <v>325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325</v>
      </c>
      <c r="L43" s="8">
        <v>0</v>
      </c>
      <c r="M43" s="8">
        <v>0</v>
      </c>
      <c r="N43" s="8">
        <v>0</v>
      </c>
      <c r="O43" s="8">
        <v>0</v>
      </c>
    </row>
    <row r="44" spans="1:15" ht="15" customHeight="1" x14ac:dyDescent="0.2">
      <c r="A44" s="6">
        <v>25</v>
      </c>
      <c r="B44" s="6" t="s">
        <v>211</v>
      </c>
      <c r="C44" s="8">
        <f t="shared" si="1"/>
        <v>325</v>
      </c>
      <c r="D44" s="8">
        <v>0</v>
      </c>
      <c r="E44" s="8">
        <v>0</v>
      </c>
      <c r="F44" s="8">
        <v>0</v>
      </c>
      <c r="G44" s="8">
        <v>0</v>
      </c>
      <c r="H44" s="8">
        <v>325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</row>
    <row r="45" spans="1:15" ht="15" customHeight="1" x14ac:dyDescent="0.2">
      <c r="A45" s="6">
        <v>25</v>
      </c>
      <c r="B45" s="6" t="s">
        <v>230</v>
      </c>
      <c r="C45" s="8">
        <f t="shared" si="1"/>
        <v>325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325</v>
      </c>
      <c r="N45" s="8">
        <v>0</v>
      </c>
      <c r="O45" s="8">
        <v>0</v>
      </c>
    </row>
    <row r="46" spans="1:15" ht="15" customHeight="1" x14ac:dyDescent="0.2">
      <c r="A46" s="6">
        <v>26</v>
      </c>
      <c r="B46" s="6" t="s">
        <v>240</v>
      </c>
      <c r="C46" s="8">
        <f t="shared" si="1"/>
        <v>300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300</v>
      </c>
    </row>
    <row r="47" spans="1:15" ht="15" customHeight="1" x14ac:dyDescent="0.2">
      <c r="A47" s="6">
        <v>26</v>
      </c>
      <c r="B47" s="6" t="s">
        <v>198</v>
      </c>
      <c r="C47" s="8">
        <f t="shared" si="1"/>
        <v>300</v>
      </c>
      <c r="D47" s="8">
        <v>0</v>
      </c>
      <c r="E47" s="8">
        <v>300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</row>
    <row r="48" spans="1:15" ht="15" customHeight="1" x14ac:dyDescent="0.2">
      <c r="A48" s="6">
        <v>266</v>
      </c>
      <c r="B48" s="6" t="s">
        <v>200</v>
      </c>
      <c r="C48" s="8">
        <f t="shared" si="1"/>
        <v>300</v>
      </c>
      <c r="D48" s="8">
        <v>0</v>
      </c>
      <c r="E48" s="8">
        <v>0</v>
      </c>
      <c r="F48" s="8">
        <v>300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</row>
    <row r="49" spans="1:15" ht="15" customHeight="1" x14ac:dyDescent="0.2">
      <c r="A49" s="6">
        <v>26</v>
      </c>
      <c r="B49" s="6" t="s">
        <v>212</v>
      </c>
      <c r="C49" s="8">
        <f t="shared" si="1"/>
        <v>300</v>
      </c>
      <c r="D49" s="8">
        <v>0</v>
      </c>
      <c r="E49" s="8">
        <v>0</v>
      </c>
      <c r="F49" s="8">
        <v>0</v>
      </c>
      <c r="G49" s="8">
        <v>0</v>
      </c>
      <c r="H49" s="8">
        <v>300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</row>
    <row r="50" spans="1:15" ht="15" customHeight="1" x14ac:dyDescent="0.2">
      <c r="A50" s="6">
        <v>27</v>
      </c>
      <c r="B50" s="6" t="s">
        <v>213</v>
      </c>
      <c r="C50" s="8">
        <f t="shared" si="1"/>
        <v>275</v>
      </c>
      <c r="D50" s="8">
        <v>0</v>
      </c>
      <c r="E50" s="8">
        <v>0</v>
      </c>
      <c r="F50" s="8">
        <v>0</v>
      </c>
      <c r="G50" s="8">
        <v>0</v>
      </c>
      <c r="H50" s="8">
        <v>275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</row>
    <row r="51" spans="1:15" ht="15" customHeight="1" x14ac:dyDescent="0.2">
      <c r="A51" s="6">
        <v>27</v>
      </c>
      <c r="B51" s="6" t="s">
        <v>226</v>
      </c>
      <c r="C51" s="8">
        <f t="shared" si="1"/>
        <v>275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275</v>
      </c>
      <c r="N51" s="8">
        <v>0</v>
      </c>
      <c r="O51" s="8">
        <v>0</v>
      </c>
    </row>
    <row r="52" spans="1:15" ht="15" customHeight="1" x14ac:dyDescent="0.2">
      <c r="A52" s="6">
        <v>28</v>
      </c>
      <c r="B52" s="6" t="s">
        <v>241</v>
      </c>
      <c r="C52" s="8">
        <f t="shared" si="1"/>
        <v>250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250</v>
      </c>
    </row>
    <row r="53" spans="1:15" ht="15" customHeight="1" x14ac:dyDescent="0.2">
      <c r="A53" s="6">
        <v>28</v>
      </c>
      <c r="B53" s="6" t="s">
        <v>234</v>
      </c>
      <c r="C53" s="8">
        <f t="shared" si="1"/>
        <v>250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250</v>
      </c>
      <c r="O53" s="8">
        <v>0</v>
      </c>
    </row>
    <row r="54" spans="1:15" ht="15" customHeight="1" x14ac:dyDescent="0.2">
      <c r="A54" s="6">
        <v>29</v>
      </c>
      <c r="B54" s="6" t="s">
        <v>214</v>
      </c>
      <c r="C54" s="8">
        <f t="shared" si="1"/>
        <v>225</v>
      </c>
      <c r="D54" s="8">
        <v>0</v>
      </c>
      <c r="E54" s="8">
        <v>0</v>
      </c>
      <c r="F54" s="8">
        <v>0</v>
      </c>
      <c r="G54" s="8">
        <v>0</v>
      </c>
      <c r="H54" s="8">
        <v>225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</row>
    <row r="55" spans="1:15" ht="15" customHeight="1" x14ac:dyDescent="0.2">
      <c r="A55" s="6">
        <v>29</v>
      </c>
      <c r="B55" s="6" t="s">
        <v>194</v>
      </c>
      <c r="C55" s="8">
        <f t="shared" si="1"/>
        <v>225</v>
      </c>
      <c r="D55" s="8">
        <v>225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</row>
    <row r="56" spans="1:15" ht="15" customHeight="1" x14ac:dyDescent="0.2">
      <c r="A56" s="6">
        <v>29</v>
      </c>
      <c r="B56" s="6" t="s">
        <v>202</v>
      </c>
      <c r="C56" s="8">
        <f t="shared" si="1"/>
        <v>225</v>
      </c>
      <c r="D56" s="8">
        <v>0</v>
      </c>
      <c r="E56" s="8">
        <v>0</v>
      </c>
      <c r="F56" s="8">
        <v>225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</row>
    <row r="57" spans="1:15" ht="15" customHeight="1" x14ac:dyDescent="0.2">
      <c r="A57" s="6">
        <v>30</v>
      </c>
      <c r="B57" s="6" t="s">
        <v>206</v>
      </c>
      <c r="C57" s="8">
        <f t="shared" si="1"/>
        <v>175</v>
      </c>
      <c r="D57" s="8">
        <v>0</v>
      </c>
      <c r="E57" s="8">
        <v>0</v>
      </c>
      <c r="F57" s="8">
        <v>0</v>
      </c>
      <c r="G57" s="8">
        <v>175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</row>
    <row r="58" spans="1:15" ht="15" customHeight="1" x14ac:dyDescent="0.2">
      <c r="A58" s="6">
        <v>31</v>
      </c>
      <c r="B58" s="6" t="s">
        <v>237</v>
      </c>
      <c r="C58" s="8">
        <f t="shared" si="1"/>
        <v>160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160</v>
      </c>
      <c r="O58" s="8">
        <v>0</v>
      </c>
    </row>
    <row r="59" spans="1:15" ht="15" customHeight="1" x14ac:dyDescent="0.2">
      <c r="A59" s="6">
        <v>31</v>
      </c>
      <c r="B59" s="6" t="s">
        <v>207</v>
      </c>
      <c r="C59" s="8">
        <f t="shared" si="1"/>
        <v>160</v>
      </c>
      <c r="D59" s="8">
        <v>0</v>
      </c>
      <c r="E59" s="8">
        <v>0</v>
      </c>
      <c r="F59" s="8">
        <v>0</v>
      </c>
      <c r="G59" s="8">
        <v>160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</row>
    <row r="60" spans="1:15" ht="15" customHeight="1" x14ac:dyDescent="0.2">
      <c r="A60" s="6">
        <v>31</v>
      </c>
      <c r="B60" s="6" t="s">
        <v>242</v>
      </c>
      <c r="C60" s="8">
        <f t="shared" si="1"/>
        <v>160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160</v>
      </c>
    </row>
    <row r="61" spans="1:15" ht="15" customHeight="1" x14ac:dyDescent="0.2">
      <c r="A61" s="6">
        <v>32</v>
      </c>
      <c r="B61" s="6" t="s">
        <v>208</v>
      </c>
      <c r="C61" s="8">
        <f t="shared" si="1"/>
        <v>145</v>
      </c>
      <c r="D61" s="8">
        <v>0</v>
      </c>
      <c r="E61" s="8">
        <v>0</v>
      </c>
      <c r="F61" s="8">
        <v>0</v>
      </c>
      <c r="G61" s="8">
        <v>145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</row>
    <row r="62" spans="1:15" ht="15" customHeight="1" x14ac:dyDescent="0.2">
      <c r="A62" s="6">
        <v>32</v>
      </c>
      <c r="B62" s="6" t="s">
        <v>236</v>
      </c>
      <c r="C62" s="8">
        <f t="shared" si="1"/>
        <v>145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145</v>
      </c>
      <c r="O62" s="8">
        <v>0</v>
      </c>
    </row>
    <row r="63" spans="1:15" ht="15" customHeight="1" x14ac:dyDescent="0.2">
      <c r="A63" s="10">
        <v>33</v>
      </c>
      <c r="B63" s="10" t="s">
        <v>209</v>
      </c>
      <c r="C63" s="11">
        <f t="shared" si="1"/>
        <v>130</v>
      </c>
      <c r="D63" s="11">
        <v>0</v>
      </c>
      <c r="E63" s="11">
        <v>0</v>
      </c>
      <c r="F63" s="11">
        <v>0</v>
      </c>
      <c r="G63" s="11">
        <v>130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</row>
    <row r="64" spans="1:15" ht="15" customHeight="1" x14ac:dyDescent="0.2">
      <c r="A64" s="10">
        <v>34</v>
      </c>
      <c r="B64" s="10" t="s">
        <v>210</v>
      </c>
      <c r="C64" s="11">
        <f t="shared" si="1"/>
        <v>115</v>
      </c>
      <c r="D64" s="11">
        <v>0</v>
      </c>
      <c r="E64" s="11">
        <v>0</v>
      </c>
      <c r="F64" s="11">
        <v>0</v>
      </c>
      <c r="G64" s="11">
        <v>115</v>
      </c>
      <c r="H64" s="11">
        <v>0</v>
      </c>
      <c r="I64" s="11">
        <v>0</v>
      </c>
      <c r="J64" s="11">
        <v>0</v>
      </c>
      <c r="K64" s="11">
        <v>0</v>
      </c>
      <c r="L64" s="11">
        <v>0</v>
      </c>
      <c r="M64" s="11">
        <v>0</v>
      </c>
      <c r="N64" s="11">
        <v>0</v>
      </c>
      <c r="O64" s="11">
        <v>0</v>
      </c>
    </row>
    <row r="65" spans="1:15" ht="15" customHeight="1" x14ac:dyDescent="0.2">
      <c r="A65" s="10">
        <v>34</v>
      </c>
      <c r="B65" s="10" t="s">
        <v>243</v>
      </c>
      <c r="C65" s="11">
        <f t="shared" si="1"/>
        <v>115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115</v>
      </c>
    </row>
    <row r="67" spans="1:15" ht="18.75" customHeight="1" x14ac:dyDescent="0.25">
      <c r="A67" s="48" t="s">
        <v>3</v>
      </c>
      <c r="B67" s="49"/>
      <c r="C67" s="49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</row>
    <row r="68" spans="1:15" ht="18.75" customHeight="1" x14ac:dyDescent="0.25">
      <c r="A68" s="50" t="s">
        <v>4</v>
      </c>
      <c r="B68" s="51"/>
      <c r="C68" s="51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</row>
    <row r="69" spans="1:15" ht="18.75" customHeight="1" x14ac:dyDescent="0.25">
      <c r="A69" s="52" t="s">
        <v>5</v>
      </c>
      <c r="B69" s="53"/>
      <c r="C69" s="53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</row>
  </sheetData>
  <sortState ref="A8:O65">
    <sortCondition descending="1" ref="C8:C65"/>
  </sortState>
  <mergeCells count="9">
    <mergeCell ref="A67:C67"/>
    <mergeCell ref="A68:C68"/>
    <mergeCell ref="A69:C69"/>
    <mergeCell ref="A1:O1"/>
    <mergeCell ref="A2:O2"/>
    <mergeCell ref="A3:O3"/>
    <mergeCell ref="A4:O4"/>
    <mergeCell ref="A5:O5"/>
    <mergeCell ref="A6:O6"/>
  </mergeCells>
  <pageMargins left="0.7" right="0.7" top="0.75" bottom="0.75" header="0.3" footer="0.3"/>
  <pageSetup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5"/>
  <sheetViews>
    <sheetView workbookViewId="0">
      <selection activeCell="C8" sqref="C8"/>
    </sheetView>
  </sheetViews>
  <sheetFormatPr defaultRowHeight="12.75" x14ac:dyDescent="0.2"/>
  <cols>
    <col min="1" max="1" width="8.42578125" customWidth="1"/>
    <col min="2" max="2" width="26.28515625" customWidth="1"/>
    <col min="3" max="3" width="9.5703125" customWidth="1"/>
    <col min="4" max="15" width="6.7109375" customWidth="1"/>
    <col min="16" max="16" width="8.7109375" customWidth="1"/>
  </cols>
  <sheetData>
    <row r="1" spans="1:15" ht="126" customHeight="1" x14ac:dyDescent="0.2">
      <c r="A1" s="36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</row>
    <row r="2" spans="1:15" ht="45" customHeight="1" x14ac:dyDescent="0.5">
      <c r="A2" s="54" t="s">
        <v>164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</row>
    <row r="3" spans="1:15" ht="40.5" customHeight="1" x14ac:dyDescent="0.4">
      <c r="A3" s="55" t="s">
        <v>177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</row>
    <row r="4" spans="1:15" ht="9.75" customHeight="1" x14ac:dyDescent="0.4">
      <c r="A4" s="55"/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</row>
    <row r="5" spans="1:15" ht="30" customHeight="1" x14ac:dyDescent="0.4">
      <c r="A5" s="57" t="s">
        <v>163</v>
      </c>
      <c r="B5" s="58"/>
      <c r="C5" s="58"/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</row>
    <row r="6" spans="1:15" ht="16.5" customHeight="1" x14ac:dyDescent="0.2">
      <c r="A6" s="38"/>
      <c r="B6" s="38"/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</row>
    <row r="7" spans="1:15" ht="15" customHeight="1" x14ac:dyDescent="0.25">
      <c r="A7" s="1" t="s">
        <v>1</v>
      </c>
      <c r="B7" s="1" t="s">
        <v>0</v>
      </c>
      <c r="C7" s="1" t="s">
        <v>2</v>
      </c>
      <c r="D7" s="2">
        <v>45500</v>
      </c>
      <c r="E7" s="2">
        <v>45507</v>
      </c>
      <c r="F7" s="2">
        <v>45514</v>
      </c>
      <c r="G7" s="2">
        <v>45521</v>
      </c>
      <c r="H7" s="2">
        <v>45528</v>
      </c>
      <c r="I7" s="2">
        <v>45535</v>
      </c>
      <c r="J7" s="2">
        <v>45542</v>
      </c>
      <c r="K7" s="2">
        <v>45549</v>
      </c>
      <c r="L7" s="2">
        <v>45556</v>
      </c>
      <c r="M7" s="2">
        <v>45563</v>
      </c>
      <c r="N7" s="2">
        <v>45570</v>
      </c>
      <c r="O7" s="2">
        <v>45577</v>
      </c>
    </row>
    <row r="8" spans="1:15" ht="15" customHeight="1" x14ac:dyDescent="0.2">
      <c r="A8" s="6">
        <v>1</v>
      </c>
      <c r="B8" s="6" t="s">
        <v>169</v>
      </c>
      <c r="C8" s="7">
        <f t="shared" ref="C8:C31" si="0">SUM(D8:O8)</f>
        <v>4675</v>
      </c>
      <c r="D8" s="8">
        <v>375</v>
      </c>
      <c r="E8" s="8">
        <v>575</v>
      </c>
      <c r="F8" s="8">
        <v>425</v>
      </c>
      <c r="G8" s="8">
        <v>425</v>
      </c>
      <c r="H8" s="8">
        <v>350</v>
      </c>
      <c r="I8" s="8">
        <v>425</v>
      </c>
      <c r="J8" s="8">
        <v>0</v>
      </c>
      <c r="K8" s="8">
        <v>425</v>
      </c>
      <c r="L8" s="8">
        <v>375</v>
      </c>
      <c r="M8" s="8">
        <v>575</v>
      </c>
      <c r="N8" s="8">
        <v>350</v>
      </c>
      <c r="O8" s="8">
        <v>375</v>
      </c>
    </row>
    <row r="9" spans="1:15" ht="15" customHeight="1" x14ac:dyDescent="0.2">
      <c r="A9" s="6">
        <v>2</v>
      </c>
      <c r="B9" s="6" t="s">
        <v>162</v>
      </c>
      <c r="C9" s="7">
        <f t="shared" si="0"/>
        <v>4625</v>
      </c>
      <c r="D9" s="8">
        <v>475</v>
      </c>
      <c r="E9" s="8">
        <v>375</v>
      </c>
      <c r="F9" s="8">
        <v>350</v>
      </c>
      <c r="G9" s="8">
        <v>325</v>
      </c>
      <c r="H9" s="8">
        <v>425</v>
      </c>
      <c r="I9" s="8">
        <v>475</v>
      </c>
      <c r="J9" s="8">
        <v>0</v>
      </c>
      <c r="K9" s="8">
        <v>575</v>
      </c>
      <c r="L9" s="8">
        <v>350</v>
      </c>
      <c r="M9" s="8">
        <v>375</v>
      </c>
      <c r="N9" s="8">
        <v>425</v>
      </c>
      <c r="O9" s="8">
        <v>475</v>
      </c>
    </row>
    <row r="10" spans="1:15" ht="15" customHeight="1" x14ac:dyDescent="0.2">
      <c r="A10" s="6">
        <v>3</v>
      </c>
      <c r="B10" s="6" t="s">
        <v>16</v>
      </c>
      <c r="C10" s="7">
        <f t="shared" si="0"/>
        <v>4150</v>
      </c>
      <c r="D10" s="8">
        <v>575</v>
      </c>
      <c r="E10" s="8">
        <v>0</v>
      </c>
      <c r="F10" s="8">
        <v>475</v>
      </c>
      <c r="G10" s="8">
        <v>575</v>
      </c>
      <c r="H10" s="8">
        <v>475</v>
      </c>
      <c r="I10" s="8">
        <v>575</v>
      </c>
      <c r="J10" s="8">
        <v>0</v>
      </c>
      <c r="K10" s="8">
        <v>0</v>
      </c>
      <c r="L10" s="8">
        <v>575</v>
      </c>
      <c r="M10" s="8">
        <v>425</v>
      </c>
      <c r="N10" s="8">
        <v>475</v>
      </c>
      <c r="O10" s="8">
        <v>0</v>
      </c>
    </row>
    <row r="11" spans="1:15" ht="15" customHeight="1" x14ac:dyDescent="0.2">
      <c r="A11" s="6">
        <v>4</v>
      </c>
      <c r="B11" s="6" t="s">
        <v>174</v>
      </c>
      <c r="C11" s="7">
        <f t="shared" si="0"/>
        <v>2975</v>
      </c>
      <c r="D11" s="8">
        <v>0</v>
      </c>
      <c r="E11" s="8">
        <v>0</v>
      </c>
      <c r="F11" s="8">
        <v>0</v>
      </c>
      <c r="G11" s="8">
        <v>475</v>
      </c>
      <c r="H11" s="8">
        <v>575</v>
      </c>
      <c r="I11" s="8">
        <v>0</v>
      </c>
      <c r="J11" s="8">
        <v>0</v>
      </c>
      <c r="K11" s="8">
        <v>375</v>
      </c>
      <c r="L11" s="8">
        <v>300</v>
      </c>
      <c r="M11" s="8">
        <v>350</v>
      </c>
      <c r="N11" s="8">
        <v>575</v>
      </c>
      <c r="O11" s="8">
        <v>325</v>
      </c>
    </row>
    <row r="12" spans="1:15" ht="15" customHeight="1" x14ac:dyDescent="0.2">
      <c r="A12" s="6">
        <v>5</v>
      </c>
      <c r="B12" s="6" t="s">
        <v>10</v>
      </c>
      <c r="C12" s="7">
        <f t="shared" si="0"/>
        <v>1725</v>
      </c>
      <c r="D12" s="8">
        <v>350</v>
      </c>
      <c r="E12" s="8">
        <v>0</v>
      </c>
      <c r="F12" s="8">
        <v>0</v>
      </c>
      <c r="G12" s="8">
        <v>0</v>
      </c>
      <c r="H12" s="8">
        <v>0</v>
      </c>
      <c r="I12" s="8">
        <v>375</v>
      </c>
      <c r="J12" s="8">
        <v>0</v>
      </c>
      <c r="K12" s="8">
        <v>0</v>
      </c>
      <c r="L12" s="8">
        <v>425</v>
      </c>
      <c r="M12" s="8">
        <v>0</v>
      </c>
      <c r="N12" s="8">
        <v>0</v>
      </c>
      <c r="O12" s="8">
        <v>575</v>
      </c>
    </row>
    <row r="13" spans="1:15" ht="15" customHeight="1" x14ac:dyDescent="0.2">
      <c r="A13" s="6">
        <v>6</v>
      </c>
      <c r="B13" s="6" t="s">
        <v>89</v>
      </c>
      <c r="C13" s="7">
        <f t="shared" si="0"/>
        <v>1475</v>
      </c>
      <c r="D13" s="8">
        <v>0</v>
      </c>
      <c r="E13" s="8">
        <v>0</v>
      </c>
      <c r="F13" s="8">
        <v>0</v>
      </c>
      <c r="G13" s="8">
        <v>0</v>
      </c>
      <c r="H13" s="8">
        <v>0</v>
      </c>
      <c r="I13" s="8">
        <v>350</v>
      </c>
      <c r="J13" s="8">
        <v>0</v>
      </c>
      <c r="K13" s="8">
        <v>0</v>
      </c>
      <c r="L13" s="8">
        <v>475</v>
      </c>
      <c r="M13" s="8">
        <v>325</v>
      </c>
      <c r="N13" s="8">
        <v>325</v>
      </c>
      <c r="O13" s="8">
        <v>0</v>
      </c>
    </row>
    <row r="14" spans="1:15" ht="15" customHeight="1" x14ac:dyDescent="0.2">
      <c r="A14" s="6">
        <v>7</v>
      </c>
      <c r="B14" s="6" t="s">
        <v>60</v>
      </c>
      <c r="C14" s="7">
        <f t="shared" si="0"/>
        <v>1400</v>
      </c>
      <c r="D14" s="8">
        <v>0</v>
      </c>
      <c r="E14" s="8">
        <v>0</v>
      </c>
      <c r="F14" s="8">
        <v>275</v>
      </c>
      <c r="G14" s="8">
        <v>375</v>
      </c>
      <c r="H14" s="8">
        <v>0</v>
      </c>
      <c r="I14" s="8">
        <v>0</v>
      </c>
      <c r="J14" s="8">
        <v>0</v>
      </c>
      <c r="K14" s="8">
        <v>0</v>
      </c>
      <c r="L14" s="8">
        <v>325</v>
      </c>
      <c r="M14" s="8">
        <v>0</v>
      </c>
      <c r="N14" s="8">
        <v>0</v>
      </c>
      <c r="O14" s="8">
        <v>425</v>
      </c>
    </row>
    <row r="15" spans="1:15" ht="15" customHeight="1" x14ac:dyDescent="0.2">
      <c r="A15" s="6">
        <v>8</v>
      </c>
      <c r="B15" s="6" t="s">
        <v>128</v>
      </c>
      <c r="C15" s="7">
        <f t="shared" si="0"/>
        <v>1100</v>
      </c>
      <c r="D15" s="8">
        <v>275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8">
        <v>0</v>
      </c>
      <c r="M15" s="8">
        <v>475</v>
      </c>
      <c r="N15" s="8">
        <v>0</v>
      </c>
      <c r="O15" s="8">
        <v>350</v>
      </c>
    </row>
    <row r="16" spans="1:15" ht="15" customHeight="1" x14ac:dyDescent="0.2">
      <c r="A16" s="6">
        <v>9</v>
      </c>
      <c r="B16" s="6" t="s">
        <v>182</v>
      </c>
      <c r="C16" s="7">
        <f t="shared" si="0"/>
        <v>1000</v>
      </c>
      <c r="D16" s="8">
        <v>0</v>
      </c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8">
        <v>475</v>
      </c>
      <c r="L16" s="8">
        <v>0</v>
      </c>
      <c r="M16" s="8">
        <v>0</v>
      </c>
      <c r="N16" s="8">
        <v>300</v>
      </c>
      <c r="O16" s="8">
        <v>225</v>
      </c>
    </row>
    <row r="17" spans="1:15" ht="15" customHeight="1" x14ac:dyDescent="0.2">
      <c r="A17" s="6">
        <v>10</v>
      </c>
      <c r="B17" s="6" t="s">
        <v>87</v>
      </c>
      <c r="C17" s="7">
        <f t="shared" si="0"/>
        <v>950</v>
      </c>
      <c r="D17" s="8">
        <v>0</v>
      </c>
      <c r="E17" s="8">
        <v>0</v>
      </c>
      <c r="F17" s="8">
        <v>575</v>
      </c>
      <c r="G17" s="8">
        <v>0</v>
      </c>
      <c r="H17" s="8">
        <v>375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</row>
    <row r="18" spans="1:15" ht="15" customHeight="1" x14ac:dyDescent="0.2">
      <c r="A18" s="6">
        <v>11</v>
      </c>
      <c r="B18" s="6" t="s">
        <v>150</v>
      </c>
      <c r="C18" s="8">
        <f t="shared" si="0"/>
        <v>925</v>
      </c>
      <c r="D18" s="8">
        <v>225</v>
      </c>
      <c r="E18" s="8">
        <v>0</v>
      </c>
      <c r="F18" s="8">
        <v>325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  <c r="M18" s="8">
        <v>0</v>
      </c>
      <c r="N18" s="8">
        <v>375</v>
      </c>
      <c r="O18" s="8">
        <v>0</v>
      </c>
    </row>
    <row r="19" spans="1:15" ht="15" customHeight="1" x14ac:dyDescent="0.2">
      <c r="A19" s="6">
        <v>12</v>
      </c>
      <c r="B19" s="6" t="s">
        <v>178</v>
      </c>
      <c r="C19" s="8">
        <f t="shared" si="0"/>
        <v>475</v>
      </c>
      <c r="D19" s="8">
        <v>0</v>
      </c>
      <c r="E19" s="8">
        <v>475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</row>
    <row r="20" spans="1:15" ht="15" customHeight="1" x14ac:dyDescent="0.2">
      <c r="A20" s="6">
        <v>13</v>
      </c>
      <c r="B20" s="6" t="s">
        <v>172</v>
      </c>
      <c r="C20" s="8">
        <f t="shared" si="0"/>
        <v>425</v>
      </c>
      <c r="D20" s="8">
        <v>0</v>
      </c>
      <c r="E20" s="8">
        <v>425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</row>
    <row r="21" spans="1:15" ht="15" customHeight="1" x14ac:dyDescent="0.2">
      <c r="A21" s="6">
        <v>13</v>
      </c>
      <c r="B21" s="6" t="s">
        <v>126</v>
      </c>
      <c r="C21" s="8">
        <f t="shared" si="0"/>
        <v>425</v>
      </c>
      <c r="D21" s="8">
        <v>425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</row>
    <row r="22" spans="1:15" ht="15" customHeight="1" x14ac:dyDescent="0.2">
      <c r="A22" s="6">
        <v>14</v>
      </c>
      <c r="B22" s="6" t="s">
        <v>180</v>
      </c>
      <c r="C22" s="8">
        <f t="shared" si="0"/>
        <v>375</v>
      </c>
      <c r="D22" s="8">
        <v>0</v>
      </c>
      <c r="E22" s="8">
        <v>0</v>
      </c>
      <c r="F22" s="8">
        <v>375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</row>
    <row r="23" spans="1:15" ht="15" customHeight="1" x14ac:dyDescent="0.2">
      <c r="A23" s="6">
        <v>15</v>
      </c>
      <c r="B23" s="6" t="s">
        <v>179</v>
      </c>
      <c r="C23" s="8">
        <f t="shared" si="0"/>
        <v>350</v>
      </c>
      <c r="D23" s="8">
        <v>0</v>
      </c>
      <c r="E23" s="8">
        <v>350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</row>
    <row r="24" spans="1:15" ht="15" customHeight="1" x14ac:dyDescent="0.2">
      <c r="A24" s="6">
        <v>15</v>
      </c>
      <c r="B24" s="6" t="s">
        <v>181</v>
      </c>
      <c r="C24" s="8">
        <f t="shared" si="0"/>
        <v>350</v>
      </c>
      <c r="D24" s="8">
        <v>0</v>
      </c>
      <c r="E24" s="8">
        <v>0</v>
      </c>
      <c r="F24" s="8">
        <v>0</v>
      </c>
      <c r="G24" s="8">
        <v>350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</row>
    <row r="25" spans="1:15" ht="15" customHeight="1" x14ac:dyDescent="0.2">
      <c r="A25" s="6">
        <v>16</v>
      </c>
      <c r="B25" s="6" t="s">
        <v>167</v>
      </c>
      <c r="C25" s="8">
        <f t="shared" si="0"/>
        <v>325</v>
      </c>
      <c r="D25" s="8">
        <v>325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</row>
    <row r="26" spans="1:15" ht="15" customHeight="1" x14ac:dyDescent="0.2">
      <c r="A26" s="6">
        <v>17</v>
      </c>
      <c r="B26" s="6" t="s">
        <v>111</v>
      </c>
      <c r="C26" s="8">
        <f t="shared" si="0"/>
        <v>300</v>
      </c>
      <c r="D26" s="8">
        <v>0</v>
      </c>
      <c r="E26" s="8">
        <v>0</v>
      </c>
      <c r="F26" s="8">
        <v>300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</row>
    <row r="27" spans="1:15" ht="15" customHeight="1" x14ac:dyDescent="0.2">
      <c r="A27" s="6">
        <v>17</v>
      </c>
      <c r="B27" s="6" t="s">
        <v>166</v>
      </c>
      <c r="C27" s="8">
        <f t="shared" si="0"/>
        <v>300</v>
      </c>
      <c r="D27" s="8">
        <v>300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</row>
    <row r="28" spans="1:15" ht="15" customHeight="1" x14ac:dyDescent="0.2">
      <c r="A28" s="6">
        <v>17</v>
      </c>
      <c r="B28" s="6" t="s">
        <v>183</v>
      </c>
      <c r="C28" s="8">
        <f t="shared" si="0"/>
        <v>300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300</v>
      </c>
    </row>
    <row r="29" spans="1:15" ht="15" customHeight="1" x14ac:dyDescent="0.2">
      <c r="A29" s="6">
        <v>18</v>
      </c>
      <c r="B29" s="6" t="s">
        <v>184</v>
      </c>
      <c r="C29" s="8">
        <f t="shared" si="0"/>
        <v>275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275</v>
      </c>
    </row>
    <row r="30" spans="1:15" ht="15" customHeight="1" x14ac:dyDescent="0.2">
      <c r="A30" s="6">
        <v>19</v>
      </c>
      <c r="B30" s="6" t="s">
        <v>185</v>
      </c>
      <c r="C30" s="8">
        <f t="shared" si="0"/>
        <v>250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250</v>
      </c>
    </row>
    <row r="31" spans="1:15" ht="15" customHeight="1" x14ac:dyDescent="0.2">
      <c r="A31" s="6">
        <v>19</v>
      </c>
      <c r="B31" s="6" t="s">
        <v>127</v>
      </c>
      <c r="C31" s="8">
        <f t="shared" si="0"/>
        <v>250</v>
      </c>
      <c r="D31" s="8">
        <v>250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</row>
    <row r="33" spans="1:15" ht="18.75" customHeight="1" x14ac:dyDescent="0.25">
      <c r="A33" s="48" t="s">
        <v>3</v>
      </c>
      <c r="B33" s="49"/>
      <c r="C33" s="49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</row>
    <row r="34" spans="1:15" ht="18.75" customHeight="1" x14ac:dyDescent="0.25">
      <c r="A34" s="50" t="s">
        <v>4</v>
      </c>
      <c r="B34" s="51"/>
      <c r="C34" s="51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</row>
    <row r="35" spans="1:15" ht="18.75" customHeight="1" x14ac:dyDescent="0.25">
      <c r="A35" s="52" t="s">
        <v>5</v>
      </c>
      <c r="B35" s="53"/>
      <c r="C35" s="53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</row>
  </sheetData>
  <sortState ref="A8:O31">
    <sortCondition descending="1" ref="C8:C31"/>
  </sortState>
  <mergeCells count="9">
    <mergeCell ref="A33:C33"/>
    <mergeCell ref="A34:C34"/>
    <mergeCell ref="A35:C35"/>
    <mergeCell ref="A1:O1"/>
    <mergeCell ref="A2:O2"/>
    <mergeCell ref="A3:O3"/>
    <mergeCell ref="A4:O4"/>
    <mergeCell ref="A5:O5"/>
    <mergeCell ref="A6:O6"/>
  </mergeCells>
  <pageMargins left="0.7" right="0.7" top="0.75" bottom="0.75" header="0.3" footer="0.3"/>
  <pageSetup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8"/>
  <sheetViews>
    <sheetView workbookViewId="0">
      <selection activeCell="D8" sqref="D8"/>
    </sheetView>
  </sheetViews>
  <sheetFormatPr defaultRowHeight="12.75" x14ac:dyDescent="0.2"/>
  <cols>
    <col min="1" max="1" width="8.42578125" customWidth="1"/>
    <col min="2" max="2" width="26.28515625" customWidth="1"/>
    <col min="3" max="3" width="9.5703125" customWidth="1"/>
    <col min="4" max="15" width="6.7109375" customWidth="1"/>
    <col min="16" max="16" width="8.7109375" customWidth="1"/>
  </cols>
  <sheetData>
    <row r="1" spans="1:15" ht="126" customHeight="1" x14ac:dyDescent="0.2">
      <c r="A1" s="36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</row>
    <row r="2" spans="1:15" ht="45" customHeight="1" x14ac:dyDescent="0.5">
      <c r="A2" s="54" t="s">
        <v>164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</row>
    <row r="3" spans="1:15" ht="40.5" customHeight="1" x14ac:dyDescent="0.4">
      <c r="A3" s="55" t="s">
        <v>173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</row>
    <row r="4" spans="1:15" ht="9.75" customHeight="1" x14ac:dyDescent="0.4">
      <c r="A4" s="55"/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</row>
    <row r="5" spans="1:15" ht="30" customHeight="1" x14ac:dyDescent="0.4">
      <c r="A5" s="57" t="s">
        <v>163</v>
      </c>
      <c r="B5" s="58"/>
      <c r="C5" s="58"/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</row>
    <row r="6" spans="1:15" ht="16.5" customHeight="1" x14ac:dyDescent="0.2">
      <c r="A6" s="38"/>
      <c r="B6" s="38"/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</row>
    <row r="7" spans="1:15" ht="15" customHeight="1" x14ac:dyDescent="0.25">
      <c r="A7" s="1" t="s">
        <v>1</v>
      </c>
      <c r="B7" s="1" t="s">
        <v>0</v>
      </c>
      <c r="C7" s="1" t="s">
        <v>2</v>
      </c>
      <c r="D7" s="2">
        <v>45416</v>
      </c>
      <c r="E7" s="2">
        <v>45423</v>
      </c>
      <c r="F7" s="2">
        <v>45430</v>
      </c>
      <c r="G7" s="2">
        <v>45437</v>
      </c>
      <c r="H7" s="2">
        <v>45444</v>
      </c>
      <c r="I7" s="2">
        <v>45451</v>
      </c>
      <c r="J7" s="2">
        <v>45458</v>
      </c>
      <c r="K7" s="2">
        <v>45465</v>
      </c>
      <c r="L7" s="2">
        <v>45472</v>
      </c>
      <c r="M7" s="2">
        <v>45479</v>
      </c>
      <c r="N7" s="2">
        <v>45486</v>
      </c>
      <c r="O7" s="2">
        <v>45493</v>
      </c>
    </row>
    <row r="8" spans="1:15" ht="15" customHeight="1" x14ac:dyDescent="0.2">
      <c r="A8" s="6">
        <v>1</v>
      </c>
      <c r="B8" s="6" t="s">
        <v>16</v>
      </c>
      <c r="C8" s="7">
        <f t="shared" ref="C8:C24" si="0">SUM(D8:O8)</f>
        <v>5700</v>
      </c>
      <c r="D8" s="8">
        <v>575</v>
      </c>
      <c r="E8" s="8">
        <v>375</v>
      </c>
      <c r="F8" s="8">
        <v>475</v>
      </c>
      <c r="G8" s="8">
        <v>575</v>
      </c>
      <c r="H8" s="8">
        <v>575</v>
      </c>
      <c r="I8" s="8">
        <v>375</v>
      </c>
      <c r="J8" s="8">
        <v>575</v>
      </c>
      <c r="K8" s="8">
        <v>425</v>
      </c>
      <c r="L8" s="8">
        <v>350</v>
      </c>
      <c r="M8" s="8">
        <v>475</v>
      </c>
      <c r="N8" s="8">
        <v>350</v>
      </c>
      <c r="O8" s="8">
        <v>575</v>
      </c>
    </row>
    <row r="9" spans="1:15" ht="15" customHeight="1" x14ac:dyDescent="0.2">
      <c r="A9" s="6">
        <v>2</v>
      </c>
      <c r="B9" s="6" t="s">
        <v>169</v>
      </c>
      <c r="C9" s="7">
        <f t="shared" si="0"/>
        <v>4575</v>
      </c>
      <c r="D9" s="8">
        <v>325</v>
      </c>
      <c r="E9" s="8">
        <v>425</v>
      </c>
      <c r="F9" s="8">
        <v>425</v>
      </c>
      <c r="G9" s="8">
        <v>475</v>
      </c>
      <c r="H9" s="8">
        <v>375</v>
      </c>
      <c r="I9" s="8">
        <v>325</v>
      </c>
      <c r="J9" s="8">
        <v>350</v>
      </c>
      <c r="K9" s="8">
        <v>275</v>
      </c>
      <c r="L9" s="8">
        <v>325</v>
      </c>
      <c r="M9" s="8">
        <v>425</v>
      </c>
      <c r="N9" s="8">
        <v>475</v>
      </c>
      <c r="O9" s="8">
        <v>375</v>
      </c>
    </row>
    <row r="10" spans="1:15" ht="15" customHeight="1" x14ac:dyDescent="0.2">
      <c r="A10" s="6">
        <v>3</v>
      </c>
      <c r="B10" s="6" t="s">
        <v>162</v>
      </c>
      <c r="C10" s="7">
        <f t="shared" si="0"/>
        <v>3975</v>
      </c>
      <c r="D10" s="8">
        <v>375</v>
      </c>
      <c r="E10" s="8">
        <v>475</v>
      </c>
      <c r="F10" s="8">
        <v>0</v>
      </c>
      <c r="G10" s="8">
        <v>425</v>
      </c>
      <c r="H10" s="8">
        <v>300</v>
      </c>
      <c r="I10" s="8">
        <v>475</v>
      </c>
      <c r="J10" s="8">
        <v>425</v>
      </c>
      <c r="K10" s="8">
        <v>350</v>
      </c>
      <c r="L10" s="8">
        <v>375</v>
      </c>
      <c r="M10" s="8">
        <v>350</v>
      </c>
      <c r="N10" s="8">
        <v>0</v>
      </c>
      <c r="O10" s="8">
        <v>425</v>
      </c>
    </row>
    <row r="11" spans="1:15" ht="15" customHeight="1" x14ac:dyDescent="0.2">
      <c r="A11" s="6">
        <v>4</v>
      </c>
      <c r="B11" s="6" t="s">
        <v>60</v>
      </c>
      <c r="C11" s="7">
        <f t="shared" si="0"/>
        <v>3360</v>
      </c>
      <c r="D11" s="8">
        <v>160</v>
      </c>
      <c r="E11" s="8">
        <v>300</v>
      </c>
      <c r="F11" s="8">
        <v>350</v>
      </c>
      <c r="G11" s="8">
        <v>0</v>
      </c>
      <c r="H11" s="8">
        <v>350</v>
      </c>
      <c r="I11" s="8">
        <v>425</v>
      </c>
      <c r="J11" s="8">
        <v>300</v>
      </c>
      <c r="K11" s="8">
        <v>225</v>
      </c>
      <c r="L11" s="8">
        <v>575</v>
      </c>
      <c r="M11" s="8">
        <v>375</v>
      </c>
      <c r="N11" s="8">
        <v>300</v>
      </c>
      <c r="O11" s="8">
        <v>0</v>
      </c>
    </row>
    <row r="12" spans="1:15" ht="15" customHeight="1" x14ac:dyDescent="0.2">
      <c r="A12" s="6">
        <v>5</v>
      </c>
      <c r="B12" s="6" t="s">
        <v>127</v>
      </c>
      <c r="C12" s="7">
        <f t="shared" si="0"/>
        <v>3000</v>
      </c>
      <c r="D12" s="8">
        <v>350</v>
      </c>
      <c r="E12" s="8">
        <v>0</v>
      </c>
      <c r="F12" s="8">
        <v>575</v>
      </c>
      <c r="G12" s="8">
        <v>350</v>
      </c>
      <c r="H12" s="8">
        <v>425</v>
      </c>
      <c r="I12" s="8">
        <v>350</v>
      </c>
      <c r="J12" s="8">
        <v>375</v>
      </c>
      <c r="K12" s="8">
        <v>575</v>
      </c>
      <c r="L12" s="8">
        <v>0</v>
      </c>
      <c r="M12" s="8">
        <v>0</v>
      </c>
      <c r="N12" s="8">
        <v>0</v>
      </c>
      <c r="O12" s="8">
        <v>0</v>
      </c>
    </row>
    <row r="13" spans="1:15" ht="15" customHeight="1" x14ac:dyDescent="0.2">
      <c r="A13" s="6">
        <v>6</v>
      </c>
      <c r="B13" s="6" t="s">
        <v>166</v>
      </c>
      <c r="C13" s="7">
        <f t="shared" si="0"/>
        <v>1900</v>
      </c>
      <c r="D13" s="8">
        <v>175</v>
      </c>
      <c r="E13" s="8">
        <v>350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  <c r="K13" s="8">
        <v>475</v>
      </c>
      <c r="L13" s="8">
        <v>475</v>
      </c>
      <c r="M13" s="8">
        <v>0</v>
      </c>
      <c r="N13" s="8">
        <v>425</v>
      </c>
      <c r="O13" s="8">
        <v>0</v>
      </c>
    </row>
    <row r="14" spans="1:15" ht="15" customHeight="1" x14ac:dyDescent="0.2">
      <c r="A14" s="6">
        <v>7</v>
      </c>
      <c r="B14" s="6" t="s">
        <v>167</v>
      </c>
      <c r="C14" s="7">
        <f t="shared" si="0"/>
        <v>1875</v>
      </c>
      <c r="D14" s="8">
        <v>475</v>
      </c>
      <c r="E14" s="8">
        <v>275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375</v>
      </c>
      <c r="L14" s="8">
        <v>425</v>
      </c>
      <c r="M14" s="8">
        <v>0</v>
      </c>
      <c r="N14" s="8">
        <v>325</v>
      </c>
      <c r="O14" s="8">
        <v>0</v>
      </c>
    </row>
    <row r="15" spans="1:15" ht="15" customHeight="1" x14ac:dyDescent="0.2">
      <c r="A15" s="6">
        <v>8</v>
      </c>
      <c r="B15" s="6" t="s">
        <v>126</v>
      </c>
      <c r="C15" s="7">
        <f t="shared" si="0"/>
        <v>1725</v>
      </c>
      <c r="D15" s="8">
        <v>225</v>
      </c>
      <c r="E15" s="8">
        <v>0</v>
      </c>
      <c r="F15" s="8">
        <v>325</v>
      </c>
      <c r="G15" s="8">
        <v>375</v>
      </c>
      <c r="H15" s="8">
        <v>475</v>
      </c>
      <c r="I15" s="8">
        <v>0</v>
      </c>
      <c r="J15" s="8">
        <v>325</v>
      </c>
      <c r="K15" s="8">
        <v>0</v>
      </c>
      <c r="L15" s="8">
        <v>0</v>
      </c>
      <c r="M15" s="8">
        <v>0</v>
      </c>
      <c r="N15" s="8">
        <v>0</v>
      </c>
      <c r="O15" s="8">
        <v>0</v>
      </c>
    </row>
    <row r="16" spans="1:15" ht="15" customHeight="1" x14ac:dyDescent="0.2">
      <c r="A16" s="6">
        <v>9</v>
      </c>
      <c r="B16" s="6" t="s">
        <v>128</v>
      </c>
      <c r="C16" s="7">
        <f t="shared" si="0"/>
        <v>1500</v>
      </c>
      <c r="D16" s="8">
        <v>275</v>
      </c>
      <c r="E16" s="8">
        <v>325</v>
      </c>
      <c r="F16" s="8">
        <v>0</v>
      </c>
      <c r="G16" s="8">
        <v>0</v>
      </c>
      <c r="H16" s="8">
        <v>0</v>
      </c>
      <c r="I16" s="8">
        <v>575</v>
      </c>
      <c r="J16" s="8">
        <v>0</v>
      </c>
      <c r="K16" s="8">
        <v>325</v>
      </c>
      <c r="L16" s="8">
        <v>0</v>
      </c>
      <c r="M16" s="8">
        <v>0</v>
      </c>
      <c r="N16" s="8">
        <v>0</v>
      </c>
      <c r="O16" s="8">
        <v>0</v>
      </c>
    </row>
    <row r="17" spans="1:15" ht="15" customHeight="1" x14ac:dyDescent="0.2">
      <c r="A17" s="6">
        <v>10</v>
      </c>
      <c r="B17" s="6" t="s">
        <v>87</v>
      </c>
      <c r="C17" s="7">
        <f t="shared" si="0"/>
        <v>1375</v>
      </c>
      <c r="D17" s="8">
        <v>425</v>
      </c>
      <c r="E17" s="8">
        <v>575</v>
      </c>
      <c r="F17" s="8">
        <v>375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</row>
    <row r="18" spans="1:15" ht="15" customHeight="1" x14ac:dyDescent="0.2">
      <c r="A18" s="6">
        <v>11</v>
      </c>
      <c r="B18" s="6" t="s">
        <v>174</v>
      </c>
      <c r="C18" s="8">
        <f t="shared" si="0"/>
        <v>1325</v>
      </c>
      <c r="D18" s="8">
        <v>0</v>
      </c>
      <c r="E18" s="8">
        <v>0</v>
      </c>
      <c r="F18" s="8">
        <v>0</v>
      </c>
      <c r="G18" s="8">
        <v>0</v>
      </c>
      <c r="H18" s="8">
        <v>300</v>
      </c>
      <c r="I18" s="8">
        <v>300</v>
      </c>
      <c r="J18" s="8">
        <v>475</v>
      </c>
      <c r="K18" s="8">
        <v>250</v>
      </c>
      <c r="L18" s="8">
        <v>0</v>
      </c>
      <c r="M18" s="8">
        <v>0</v>
      </c>
      <c r="N18" s="8">
        <v>0</v>
      </c>
      <c r="O18" s="8">
        <v>0</v>
      </c>
    </row>
    <row r="19" spans="1:15" ht="15" customHeight="1" x14ac:dyDescent="0.2">
      <c r="A19" s="6">
        <v>12</v>
      </c>
      <c r="B19" s="6" t="s">
        <v>10</v>
      </c>
      <c r="C19" s="8">
        <f t="shared" si="0"/>
        <v>1050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575</v>
      </c>
      <c r="O19" s="8">
        <v>475</v>
      </c>
    </row>
    <row r="20" spans="1:15" ht="15" customHeight="1" x14ac:dyDescent="0.2">
      <c r="A20" s="6">
        <v>12</v>
      </c>
      <c r="B20" s="6" t="s">
        <v>111</v>
      </c>
      <c r="C20" s="8">
        <f t="shared" si="0"/>
        <v>1050</v>
      </c>
      <c r="D20" s="8">
        <v>300</v>
      </c>
      <c r="E20" s="8">
        <v>0</v>
      </c>
      <c r="F20" s="8">
        <v>0</v>
      </c>
      <c r="G20" s="8">
        <v>0</v>
      </c>
      <c r="H20" s="8">
        <v>0</v>
      </c>
      <c r="I20" s="8">
        <v>275</v>
      </c>
      <c r="J20" s="8">
        <v>0</v>
      </c>
      <c r="K20" s="8">
        <v>200</v>
      </c>
      <c r="L20" s="8">
        <v>0</v>
      </c>
      <c r="M20" s="8">
        <v>0</v>
      </c>
      <c r="N20" s="8">
        <v>275</v>
      </c>
      <c r="O20" s="8">
        <v>0</v>
      </c>
    </row>
    <row r="21" spans="1:15" ht="15" customHeight="1" x14ac:dyDescent="0.2">
      <c r="A21" s="6">
        <v>13</v>
      </c>
      <c r="B21" s="6" t="s">
        <v>175</v>
      </c>
      <c r="C21" s="8">
        <f t="shared" si="0"/>
        <v>875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275</v>
      </c>
      <c r="K21" s="8">
        <v>300</v>
      </c>
      <c r="L21" s="8">
        <v>300</v>
      </c>
      <c r="M21" s="8">
        <v>0</v>
      </c>
      <c r="N21" s="8">
        <v>0</v>
      </c>
      <c r="O21" s="8">
        <v>0</v>
      </c>
    </row>
    <row r="22" spans="1:15" ht="15" customHeight="1" x14ac:dyDescent="0.2">
      <c r="A22" s="6">
        <v>14</v>
      </c>
      <c r="B22" s="6" t="s">
        <v>150</v>
      </c>
      <c r="C22" s="8">
        <f t="shared" si="0"/>
        <v>850</v>
      </c>
      <c r="D22" s="8">
        <v>200</v>
      </c>
      <c r="E22" s="8">
        <v>0</v>
      </c>
      <c r="F22" s="8">
        <v>300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350</v>
      </c>
    </row>
    <row r="23" spans="1:15" ht="15" customHeight="1" x14ac:dyDescent="0.2">
      <c r="A23" s="6">
        <v>15</v>
      </c>
      <c r="B23" s="6" t="s">
        <v>176</v>
      </c>
      <c r="C23" s="8">
        <f t="shared" si="0"/>
        <v>575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575</v>
      </c>
      <c r="N23" s="8">
        <v>0</v>
      </c>
      <c r="O23" s="8">
        <v>0</v>
      </c>
    </row>
    <row r="24" spans="1:15" ht="15" customHeight="1" x14ac:dyDescent="0.2">
      <c r="A24" s="6">
        <v>16</v>
      </c>
      <c r="B24" s="6" t="s">
        <v>24</v>
      </c>
      <c r="C24" s="8">
        <f t="shared" si="0"/>
        <v>250</v>
      </c>
      <c r="D24" s="8">
        <v>250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</row>
    <row r="26" spans="1:15" ht="18.75" customHeight="1" x14ac:dyDescent="0.25">
      <c r="A26" s="48" t="s">
        <v>3</v>
      </c>
      <c r="B26" s="49"/>
      <c r="C26" s="49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</row>
    <row r="27" spans="1:15" ht="18.75" customHeight="1" x14ac:dyDescent="0.25">
      <c r="A27" s="50" t="s">
        <v>4</v>
      </c>
      <c r="B27" s="51"/>
      <c r="C27" s="51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</row>
    <row r="28" spans="1:15" ht="18.75" customHeight="1" x14ac:dyDescent="0.25">
      <c r="A28" s="52" t="s">
        <v>5</v>
      </c>
      <c r="B28" s="53"/>
      <c r="C28" s="53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</row>
  </sheetData>
  <sortState ref="A8:O24">
    <sortCondition descending="1" ref="C8:C24"/>
  </sortState>
  <mergeCells count="9">
    <mergeCell ref="A26:C26"/>
    <mergeCell ref="A27:C27"/>
    <mergeCell ref="A28:C28"/>
    <mergeCell ref="A1:O1"/>
    <mergeCell ref="A2:O2"/>
    <mergeCell ref="A3:O3"/>
    <mergeCell ref="A4:O4"/>
    <mergeCell ref="A5:O5"/>
    <mergeCell ref="A6:O6"/>
  </mergeCells>
  <pageMargins left="0.7" right="0.7" top="0.75" bottom="0.75" header="0.3" footer="0.3"/>
  <pageSetup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0"/>
  <sheetViews>
    <sheetView workbookViewId="0">
      <selection activeCell="H18" sqref="H18"/>
    </sheetView>
  </sheetViews>
  <sheetFormatPr defaultRowHeight="12.75" x14ac:dyDescent="0.2"/>
  <cols>
    <col min="1" max="1" width="8.42578125" customWidth="1"/>
    <col min="2" max="2" width="26.28515625" customWidth="1"/>
    <col min="3" max="3" width="9.5703125" customWidth="1"/>
    <col min="4" max="15" width="6.7109375" customWidth="1"/>
    <col min="16" max="16" width="8.7109375" customWidth="1"/>
  </cols>
  <sheetData>
    <row r="1" spans="1:15" ht="126" customHeight="1" x14ac:dyDescent="0.2">
      <c r="A1" s="36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</row>
    <row r="2" spans="1:15" ht="45" customHeight="1" x14ac:dyDescent="0.5">
      <c r="A2" s="54" t="s">
        <v>164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</row>
    <row r="3" spans="1:15" ht="40.5" customHeight="1" x14ac:dyDescent="0.4">
      <c r="A3" s="55" t="s">
        <v>168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</row>
    <row r="4" spans="1:15" ht="9.75" customHeight="1" x14ac:dyDescent="0.4">
      <c r="A4" s="55"/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</row>
    <row r="5" spans="1:15" ht="30" customHeight="1" x14ac:dyDescent="0.4">
      <c r="A5" s="57" t="s">
        <v>163</v>
      </c>
      <c r="B5" s="58"/>
      <c r="C5" s="58"/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</row>
    <row r="6" spans="1:15" ht="16.5" customHeight="1" x14ac:dyDescent="0.2">
      <c r="A6" s="38"/>
      <c r="B6" s="38"/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</row>
    <row r="7" spans="1:15" ht="15" customHeight="1" x14ac:dyDescent="0.25">
      <c r="A7" s="1" t="s">
        <v>1</v>
      </c>
      <c r="B7" s="1" t="s">
        <v>0</v>
      </c>
      <c r="C7" s="1" t="s">
        <v>2</v>
      </c>
      <c r="D7" s="2">
        <v>45326</v>
      </c>
      <c r="E7" s="2">
        <v>45340</v>
      </c>
      <c r="F7" s="2">
        <v>45344</v>
      </c>
      <c r="G7" s="2">
        <v>45351</v>
      </c>
      <c r="H7" s="2">
        <v>45360</v>
      </c>
      <c r="I7" s="2">
        <v>45367</v>
      </c>
      <c r="J7" s="2">
        <v>45374</v>
      </c>
      <c r="K7" s="2">
        <v>45381</v>
      </c>
      <c r="L7" s="2">
        <v>45388</v>
      </c>
      <c r="M7" s="2">
        <v>45395</v>
      </c>
      <c r="N7" s="2">
        <v>45402</v>
      </c>
      <c r="O7" s="2">
        <v>45409</v>
      </c>
    </row>
    <row r="8" spans="1:15" ht="15" customHeight="1" x14ac:dyDescent="0.2">
      <c r="A8" s="6">
        <v>1</v>
      </c>
      <c r="B8" s="6" t="s">
        <v>16</v>
      </c>
      <c r="C8" s="7">
        <f t="shared" ref="C8:C26" si="0">SUM(D8:O8)</f>
        <v>4175</v>
      </c>
      <c r="D8" s="8">
        <v>300</v>
      </c>
      <c r="E8" s="8">
        <v>575</v>
      </c>
      <c r="F8" s="8">
        <v>0</v>
      </c>
      <c r="G8" s="8">
        <v>0</v>
      </c>
      <c r="H8" s="8">
        <v>475</v>
      </c>
      <c r="I8" s="8">
        <v>350</v>
      </c>
      <c r="J8" s="8">
        <v>575</v>
      </c>
      <c r="K8" s="8">
        <v>475</v>
      </c>
      <c r="L8" s="8">
        <v>425</v>
      </c>
      <c r="M8" s="8">
        <v>575</v>
      </c>
      <c r="N8" s="8">
        <v>425</v>
      </c>
      <c r="O8" s="8">
        <v>0</v>
      </c>
    </row>
    <row r="9" spans="1:15" ht="15" customHeight="1" x14ac:dyDescent="0.2">
      <c r="A9" s="6">
        <v>2</v>
      </c>
      <c r="B9" s="6" t="s">
        <v>60</v>
      </c>
      <c r="C9" s="7">
        <f t="shared" si="0"/>
        <v>3425</v>
      </c>
      <c r="D9" s="8">
        <v>275</v>
      </c>
      <c r="E9" s="8">
        <v>250</v>
      </c>
      <c r="F9" s="8">
        <v>0</v>
      </c>
      <c r="G9" s="8">
        <v>0</v>
      </c>
      <c r="H9" s="8">
        <v>0</v>
      </c>
      <c r="I9" s="8">
        <v>575</v>
      </c>
      <c r="J9" s="8">
        <v>0</v>
      </c>
      <c r="K9" s="8">
        <v>425</v>
      </c>
      <c r="L9" s="8">
        <v>575</v>
      </c>
      <c r="M9" s="8">
        <v>475</v>
      </c>
      <c r="N9" s="8">
        <v>275</v>
      </c>
      <c r="O9" s="8">
        <v>575</v>
      </c>
    </row>
    <row r="10" spans="1:15" ht="15" customHeight="1" x14ac:dyDescent="0.2">
      <c r="A10" s="6">
        <v>3</v>
      </c>
      <c r="B10" s="6" t="s">
        <v>162</v>
      </c>
      <c r="C10" s="7">
        <f t="shared" si="0"/>
        <v>3350</v>
      </c>
      <c r="D10" s="8">
        <v>250</v>
      </c>
      <c r="E10" s="8">
        <v>300</v>
      </c>
      <c r="F10" s="8">
        <v>350</v>
      </c>
      <c r="G10" s="8">
        <v>0</v>
      </c>
      <c r="H10" s="8">
        <v>375</v>
      </c>
      <c r="I10" s="8">
        <v>275</v>
      </c>
      <c r="J10" s="8">
        <v>0</v>
      </c>
      <c r="K10" s="8">
        <v>350</v>
      </c>
      <c r="L10" s="8">
        <v>475</v>
      </c>
      <c r="M10" s="8">
        <v>300</v>
      </c>
      <c r="N10" s="8">
        <v>300</v>
      </c>
      <c r="O10" s="8">
        <v>375</v>
      </c>
    </row>
    <row r="11" spans="1:15" ht="15" customHeight="1" x14ac:dyDescent="0.2">
      <c r="A11" s="6">
        <v>4</v>
      </c>
      <c r="B11" s="6" t="s">
        <v>166</v>
      </c>
      <c r="C11" s="7">
        <f t="shared" si="0"/>
        <v>3250</v>
      </c>
      <c r="D11" s="8">
        <v>0</v>
      </c>
      <c r="E11" s="8">
        <v>0</v>
      </c>
      <c r="F11" s="8">
        <v>375</v>
      </c>
      <c r="G11" s="8">
        <v>0</v>
      </c>
      <c r="H11" s="8">
        <v>575</v>
      </c>
      <c r="I11" s="8">
        <v>250</v>
      </c>
      <c r="J11" s="8">
        <v>350</v>
      </c>
      <c r="K11" s="8">
        <v>375</v>
      </c>
      <c r="L11" s="8">
        <v>375</v>
      </c>
      <c r="M11" s="8">
        <v>275</v>
      </c>
      <c r="N11" s="8">
        <v>325</v>
      </c>
      <c r="O11" s="8">
        <v>350</v>
      </c>
    </row>
    <row r="12" spans="1:15" ht="15" customHeight="1" x14ac:dyDescent="0.2">
      <c r="A12" s="6">
        <v>5</v>
      </c>
      <c r="B12" s="6" t="s">
        <v>128</v>
      </c>
      <c r="C12" s="7">
        <f t="shared" si="0"/>
        <v>3050</v>
      </c>
      <c r="D12" s="8">
        <v>0</v>
      </c>
      <c r="E12" s="8">
        <v>350</v>
      </c>
      <c r="F12" s="8">
        <v>575</v>
      </c>
      <c r="G12" s="8">
        <v>0</v>
      </c>
      <c r="H12" s="8">
        <v>350</v>
      </c>
      <c r="I12" s="8">
        <v>325</v>
      </c>
      <c r="J12" s="8">
        <v>0</v>
      </c>
      <c r="K12" s="8">
        <v>325</v>
      </c>
      <c r="L12" s="8">
        <v>300</v>
      </c>
      <c r="M12" s="8">
        <v>0</v>
      </c>
      <c r="N12" s="8">
        <v>350</v>
      </c>
      <c r="O12" s="8">
        <v>475</v>
      </c>
    </row>
    <row r="13" spans="1:15" ht="15" customHeight="1" x14ac:dyDescent="0.2">
      <c r="A13" s="6">
        <v>6</v>
      </c>
      <c r="B13" s="6" t="s">
        <v>127</v>
      </c>
      <c r="C13" s="7">
        <f t="shared" si="0"/>
        <v>2525</v>
      </c>
      <c r="D13" s="8">
        <v>475</v>
      </c>
      <c r="E13" s="8">
        <v>275</v>
      </c>
      <c r="F13" s="8">
        <v>0</v>
      </c>
      <c r="G13" s="8">
        <v>0</v>
      </c>
      <c r="H13" s="8">
        <v>425</v>
      </c>
      <c r="I13" s="8">
        <v>375</v>
      </c>
      <c r="J13" s="8">
        <v>375</v>
      </c>
      <c r="K13" s="8">
        <v>0</v>
      </c>
      <c r="L13" s="8">
        <v>350</v>
      </c>
      <c r="M13" s="8">
        <v>0</v>
      </c>
      <c r="N13" s="8">
        <v>250</v>
      </c>
      <c r="O13" s="8">
        <v>0</v>
      </c>
    </row>
    <row r="14" spans="1:15" ht="15" customHeight="1" x14ac:dyDescent="0.2">
      <c r="A14" s="6">
        <v>7</v>
      </c>
      <c r="B14" s="6" t="s">
        <v>126</v>
      </c>
      <c r="C14" s="7">
        <f t="shared" si="0"/>
        <v>2250</v>
      </c>
      <c r="D14" s="8">
        <v>325</v>
      </c>
      <c r="E14" s="8">
        <v>425</v>
      </c>
      <c r="F14" s="8">
        <v>0</v>
      </c>
      <c r="G14" s="8">
        <v>0</v>
      </c>
      <c r="H14" s="8">
        <v>325</v>
      </c>
      <c r="I14" s="8">
        <v>475</v>
      </c>
      <c r="J14" s="8">
        <v>425</v>
      </c>
      <c r="K14" s="8">
        <v>0</v>
      </c>
      <c r="L14" s="8">
        <v>275</v>
      </c>
      <c r="M14" s="8">
        <v>0</v>
      </c>
      <c r="N14" s="8">
        <v>0</v>
      </c>
      <c r="O14" s="8">
        <v>0</v>
      </c>
    </row>
    <row r="15" spans="1:15" ht="15" customHeight="1" x14ac:dyDescent="0.2">
      <c r="A15" s="6">
        <v>8</v>
      </c>
      <c r="B15" s="6" t="s">
        <v>167</v>
      </c>
      <c r="C15" s="7">
        <f t="shared" si="0"/>
        <v>2125</v>
      </c>
      <c r="D15" s="8">
        <v>0</v>
      </c>
      <c r="E15" s="8">
        <v>0</v>
      </c>
      <c r="F15" s="8">
        <v>425</v>
      </c>
      <c r="G15" s="8">
        <v>0</v>
      </c>
      <c r="H15" s="8">
        <v>0</v>
      </c>
      <c r="I15" s="8">
        <v>300</v>
      </c>
      <c r="J15" s="8">
        <v>475</v>
      </c>
      <c r="K15" s="8">
        <v>0</v>
      </c>
      <c r="L15" s="8">
        <v>250</v>
      </c>
      <c r="M15" s="8">
        <v>350</v>
      </c>
      <c r="N15" s="8">
        <v>0</v>
      </c>
      <c r="O15" s="8">
        <v>325</v>
      </c>
    </row>
    <row r="16" spans="1:15" ht="15" customHeight="1" x14ac:dyDescent="0.2">
      <c r="A16" s="6">
        <v>9</v>
      </c>
      <c r="B16" s="6" t="s">
        <v>87</v>
      </c>
      <c r="C16" s="7">
        <f t="shared" si="0"/>
        <v>2100</v>
      </c>
      <c r="D16" s="8">
        <v>425</v>
      </c>
      <c r="E16" s="8">
        <v>200</v>
      </c>
      <c r="F16" s="8">
        <v>475</v>
      </c>
      <c r="G16" s="8">
        <v>0</v>
      </c>
      <c r="H16" s="8">
        <v>0</v>
      </c>
      <c r="I16" s="8">
        <v>425</v>
      </c>
      <c r="J16" s="8">
        <v>0</v>
      </c>
      <c r="K16" s="8">
        <v>575</v>
      </c>
      <c r="L16" s="8">
        <v>0</v>
      </c>
      <c r="M16" s="8">
        <v>0</v>
      </c>
      <c r="N16" s="8">
        <v>0</v>
      </c>
      <c r="O16" s="8">
        <v>0</v>
      </c>
    </row>
    <row r="17" spans="1:15" ht="15" customHeight="1" x14ac:dyDescent="0.2">
      <c r="A17" s="6">
        <v>10</v>
      </c>
      <c r="B17" s="6" t="s">
        <v>150</v>
      </c>
      <c r="C17" s="7">
        <f t="shared" si="0"/>
        <v>1425</v>
      </c>
      <c r="D17" s="8">
        <v>200</v>
      </c>
      <c r="E17" s="8">
        <v>0</v>
      </c>
      <c r="F17" s="8">
        <v>0</v>
      </c>
      <c r="G17" s="8">
        <v>0</v>
      </c>
      <c r="H17" s="8">
        <v>0</v>
      </c>
      <c r="I17" s="8">
        <v>225</v>
      </c>
      <c r="J17" s="8">
        <v>0</v>
      </c>
      <c r="K17" s="8">
        <v>300</v>
      </c>
      <c r="L17" s="8">
        <v>325</v>
      </c>
      <c r="M17" s="8">
        <v>0</v>
      </c>
      <c r="N17" s="8">
        <v>375</v>
      </c>
      <c r="O17" s="8">
        <v>0</v>
      </c>
    </row>
    <row r="18" spans="1:15" ht="15" customHeight="1" x14ac:dyDescent="0.2">
      <c r="A18" s="6">
        <v>11</v>
      </c>
      <c r="B18" s="6" t="s">
        <v>169</v>
      </c>
      <c r="C18" s="8">
        <f t="shared" si="0"/>
        <v>1300</v>
      </c>
      <c r="D18" s="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  <c r="M18" s="8">
        <v>425</v>
      </c>
      <c r="N18" s="8">
        <v>575</v>
      </c>
      <c r="O18" s="8">
        <v>300</v>
      </c>
    </row>
    <row r="19" spans="1:15" ht="15" customHeight="1" x14ac:dyDescent="0.2">
      <c r="A19" s="6">
        <v>12</v>
      </c>
      <c r="B19" s="6" t="s">
        <v>111</v>
      </c>
      <c r="C19" s="8">
        <f t="shared" si="0"/>
        <v>1000</v>
      </c>
      <c r="D19" s="8">
        <v>575</v>
      </c>
      <c r="E19" s="9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425</v>
      </c>
    </row>
    <row r="20" spans="1:15" ht="15" customHeight="1" x14ac:dyDescent="0.2">
      <c r="A20" s="6">
        <v>13</v>
      </c>
      <c r="B20" s="6" t="s">
        <v>24</v>
      </c>
      <c r="C20" s="8">
        <f t="shared" si="0"/>
        <v>675</v>
      </c>
      <c r="D20" s="8">
        <v>350</v>
      </c>
      <c r="E20" s="8">
        <v>325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</row>
    <row r="21" spans="1:15" ht="15" customHeight="1" x14ac:dyDescent="0.2">
      <c r="A21" s="6">
        <v>14</v>
      </c>
      <c r="B21" s="6" t="s">
        <v>165</v>
      </c>
      <c r="C21" s="8">
        <f t="shared" si="0"/>
        <v>475</v>
      </c>
      <c r="D21" s="8">
        <v>0</v>
      </c>
      <c r="E21" s="8">
        <v>475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</row>
    <row r="22" spans="1:15" ht="15" customHeight="1" x14ac:dyDescent="0.2">
      <c r="A22" s="6">
        <v>14</v>
      </c>
      <c r="B22" s="6" t="s">
        <v>172</v>
      </c>
      <c r="C22" s="8">
        <f t="shared" si="0"/>
        <v>475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475</v>
      </c>
      <c r="O22" s="8">
        <v>0</v>
      </c>
    </row>
    <row r="23" spans="1:15" ht="15" customHeight="1" x14ac:dyDescent="0.2">
      <c r="A23" s="6">
        <v>15</v>
      </c>
      <c r="B23" s="6" t="s">
        <v>61</v>
      </c>
      <c r="C23" s="8">
        <f t="shared" si="0"/>
        <v>450</v>
      </c>
      <c r="D23" s="8">
        <v>225</v>
      </c>
      <c r="E23" s="8">
        <v>225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</row>
    <row r="24" spans="1:15" ht="15" customHeight="1" x14ac:dyDescent="0.2">
      <c r="A24" s="6">
        <v>16</v>
      </c>
      <c r="B24" s="6" t="s">
        <v>170</v>
      </c>
      <c r="C24" s="8">
        <f t="shared" si="0"/>
        <v>375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375</v>
      </c>
      <c r="N24" s="8">
        <v>0</v>
      </c>
      <c r="O24" s="8">
        <v>0</v>
      </c>
    </row>
    <row r="25" spans="1:15" ht="15" customHeight="1" x14ac:dyDescent="0.2">
      <c r="A25" s="6">
        <v>17</v>
      </c>
      <c r="B25" s="6" t="s">
        <v>171</v>
      </c>
      <c r="C25" s="8">
        <f t="shared" si="0"/>
        <v>325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325</v>
      </c>
      <c r="N25" s="8">
        <v>0</v>
      </c>
      <c r="O25" s="8">
        <v>0</v>
      </c>
    </row>
    <row r="26" spans="1:15" ht="15" customHeight="1" x14ac:dyDescent="0.2">
      <c r="A26" s="16">
        <v>18</v>
      </c>
      <c r="B26" s="16" t="s">
        <v>159</v>
      </c>
      <c r="C26" s="8">
        <f t="shared" si="0"/>
        <v>175</v>
      </c>
      <c r="D26" s="8">
        <v>0</v>
      </c>
      <c r="E26" s="8">
        <v>175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</row>
    <row r="28" spans="1:15" ht="18.75" customHeight="1" x14ac:dyDescent="0.25">
      <c r="A28" s="48" t="s">
        <v>3</v>
      </c>
      <c r="B28" s="49"/>
      <c r="C28" s="49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</row>
    <row r="29" spans="1:15" ht="18.75" customHeight="1" x14ac:dyDescent="0.25">
      <c r="A29" s="50" t="s">
        <v>4</v>
      </c>
      <c r="B29" s="51"/>
      <c r="C29" s="51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</row>
    <row r="30" spans="1:15" ht="18.75" customHeight="1" x14ac:dyDescent="0.25">
      <c r="A30" s="52" t="s">
        <v>5</v>
      </c>
      <c r="B30" s="53"/>
      <c r="C30" s="53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</row>
  </sheetData>
  <sortState ref="B8:O26">
    <sortCondition descending="1" ref="C8:C26"/>
  </sortState>
  <mergeCells count="9">
    <mergeCell ref="A28:C28"/>
    <mergeCell ref="A29:C29"/>
    <mergeCell ref="A30:C30"/>
    <mergeCell ref="A1:O1"/>
    <mergeCell ref="A2:O2"/>
    <mergeCell ref="A3:O3"/>
    <mergeCell ref="A4:O4"/>
    <mergeCell ref="A5:O5"/>
    <mergeCell ref="A6:O6"/>
  </mergeCells>
  <pageMargins left="0.7" right="0.7" top="0.75" bottom="0.75" header="0.3" footer="0.3"/>
  <pageSetup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0"/>
  <sheetViews>
    <sheetView workbookViewId="0">
      <selection activeCell="C8" sqref="C8"/>
    </sheetView>
  </sheetViews>
  <sheetFormatPr defaultRowHeight="12.75" x14ac:dyDescent="0.2"/>
  <cols>
    <col min="1" max="1" width="8.42578125" customWidth="1"/>
    <col min="2" max="2" width="26.28515625" customWidth="1"/>
    <col min="3" max="3" width="9.5703125" customWidth="1"/>
    <col min="4" max="15" width="6.7109375" customWidth="1"/>
    <col min="16" max="16" width="8.7109375" customWidth="1"/>
  </cols>
  <sheetData>
    <row r="1" spans="1:15" ht="126" customHeight="1" x14ac:dyDescent="0.2">
      <c r="A1" s="36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</row>
    <row r="2" spans="1:15" ht="45" customHeight="1" x14ac:dyDescent="0.5">
      <c r="A2" s="54" t="s">
        <v>152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</row>
    <row r="3" spans="1:15" ht="40.5" customHeight="1" x14ac:dyDescent="0.4">
      <c r="A3" s="55" t="s">
        <v>160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</row>
    <row r="4" spans="1:15" ht="9.75" customHeight="1" x14ac:dyDescent="0.4">
      <c r="A4" s="55"/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</row>
    <row r="5" spans="1:15" ht="30" customHeight="1" x14ac:dyDescent="0.4">
      <c r="A5" s="57" t="s">
        <v>9</v>
      </c>
      <c r="B5" s="58"/>
      <c r="C5" s="58"/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</row>
    <row r="6" spans="1:15" ht="16.5" customHeight="1" x14ac:dyDescent="0.2">
      <c r="A6" s="38"/>
      <c r="B6" s="38"/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</row>
    <row r="7" spans="1:15" ht="15" customHeight="1" x14ac:dyDescent="0.25">
      <c r="A7" s="1" t="s">
        <v>1</v>
      </c>
      <c r="B7" s="1" t="s">
        <v>0</v>
      </c>
      <c r="C7" s="1" t="s">
        <v>2</v>
      </c>
      <c r="D7" s="2">
        <v>45081</v>
      </c>
      <c r="E7" s="2">
        <v>45088</v>
      </c>
      <c r="F7" s="2">
        <v>45095</v>
      </c>
      <c r="G7" s="2">
        <v>45116</v>
      </c>
      <c r="H7" s="2">
        <v>45123</v>
      </c>
      <c r="I7" s="2">
        <v>45130</v>
      </c>
      <c r="J7" s="2">
        <v>45137</v>
      </c>
      <c r="K7" s="2">
        <v>45144</v>
      </c>
      <c r="L7" s="2">
        <v>45151</v>
      </c>
      <c r="M7" s="2">
        <v>45158</v>
      </c>
      <c r="N7" s="2">
        <v>45179</v>
      </c>
      <c r="O7" s="2">
        <v>45186</v>
      </c>
    </row>
    <row r="8" spans="1:15" ht="15" customHeight="1" x14ac:dyDescent="0.2">
      <c r="A8" s="6">
        <v>1</v>
      </c>
      <c r="B8" s="6" t="s">
        <v>16</v>
      </c>
      <c r="C8" s="7">
        <f t="shared" ref="C8:C36" si="0">D8+E8+F8+G8+H8+I8+J8+K8+L8+M8+N8+O8</f>
        <v>4350</v>
      </c>
      <c r="D8" s="8">
        <v>325</v>
      </c>
      <c r="E8" s="9">
        <v>425</v>
      </c>
      <c r="F8" s="8">
        <v>475</v>
      </c>
      <c r="G8" s="8">
        <v>575</v>
      </c>
      <c r="H8" s="8">
        <v>200</v>
      </c>
      <c r="I8" s="8">
        <v>325</v>
      </c>
      <c r="J8" s="8">
        <v>275</v>
      </c>
      <c r="K8" s="9">
        <v>475</v>
      </c>
      <c r="L8" s="8">
        <v>175</v>
      </c>
      <c r="M8" s="8">
        <v>350</v>
      </c>
      <c r="N8" s="8">
        <v>425</v>
      </c>
      <c r="O8" s="8">
        <v>325</v>
      </c>
    </row>
    <row r="9" spans="1:15" ht="15" customHeight="1" x14ac:dyDescent="0.2">
      <c r="A9" s="6">
        <v>2</v>
      </c>
      <c r="B9" s="6" t="s">
        <v>89</v>
      </c>
      <c r="C9" s="7">
        <f t="shared" si="0"/>
        <v>3655</v>
      </c>
      <c r="D9" s="8">
        <v>425</v>
      </c>
      <c r="E9" s="8">
        <v>175</v>
      </c>
      <c r="F9" s="8">
        <v>300</v>
      </c>
      <c r="G9" s="8">
        <v>250</v>
      </c>
      <c r="H9" s="8">
        <v>325</v>
      </c>
      <c r="I9" s="8">
        <v>225</v>
      </c>
      <c r="J9" s="8">
        <v>325</v>
      </c>
      <c r="K9" s="8">
        <v>375</v>
      </c>
      <c r="L9" s="8">
        <v>475</v>
      </c>
      <c r="M9" s="8">
        <v>160</v>
      </c>
      <c r="N9" s="8">
        <v>145</v>
      </c>
      <c r="O9" s="8">
        <v>475</v>
      </c>
    </row>
    <row r="10" spans="1:15" ht="15" customHeight="1" x14ac:dyDescent="0.2">
      <c r="A10" s="6">
        <v>3</v>
      </c>
      <c r="B10" s="6" t="s">
        <v>128</v>
      </c>
      <c r="C10" s="7">
        <f t="shared" si="0"/>
        <v>3580</v>
      </c>
      <c r="D10" s="8">
        <v>275</v>
      </c>
      <c r="E10" s="8">
        <v>0</v>
      </c>
      <c r="F10" s="8">
        <v>350</v>
      </c>
      <c r="G10" s="8">
        <v>225</v>
      </c>
      <c r="H10" s="8">
        <v>575</v>
      </c>
      <c r="I10" s="8">
        <v>375</v>
      </c>
      <c r="J10" s="8">
        <v>160</v>
      </c>
      <c r="K10" s="8">
        <v>145</v>
      </c>
      <c r="L10" s="8">
        <v>375</v>
      </c>
      <c r="M10" s="8">
        <v>225</v>
      </c>
      <c r="N10" s="8">
        <v>575</v>
      </c>
      <c r="O10" s="8">
        <v>300</v>
      </c>
    </row>
    <row r="11" spans="1:15" ht="15" customHeight="1" x14ac:dyDescent="0.2">
      <c r="A11" s="6">
        <v>4</v>
      </c>
      <c r="B11" s="6" t="s">
        <v>19</v>
      </c>
      <c r="C11" s="7">
        <f t="shared" si="0"/>
        <v>3065</v>
      </c>
      <c r="D11" s="8">
        <v>175</v>
      </c>
      <c r="E11" s="9">
        <v>115</v>
      </c>
      <c r="F11" s="8">
        <v>275</v>
      </c>
      <c r="G11" s="8">
        <v>0</v>
      </c>
      <c r="H11" s="8">
        <v>225</v>
      </c>
      <c r="I11" s="8">
        <v>145</v>
      </c>
      <c r="J11" s="8">
        <v>425</v>
      </c>
      <c r="K11" s="8">
        <v>425</v>
      </c>
      <c r="L11" s="8">
        <v>130</v>
      </c>
      <c r="M11" s="8">
        <v>475</v>
      </c>
      <c r="N11" s="8">
        <v>475</v>
      </c>
      <c r="O11" s="8">
        <v>200</v>
      </c>
    </row>
    <row r="12" spans="1:15" ht="15" customHeight="1" x14ac:dyDescent="0.2">
      <c r="A12" s="6">
        <v>5</v>
      </c>
      <c r="B12" s="6" t="s">
        <v>127</v>
      </c>
      <c r="C12" s="7">
        <f t="shared" si="0"/>
        <v>2745</v>
      </c>
      <c r="D12" s="8">
        <v>115</v>
      </c>
      <c r="E12" s="8">
        <v>325</v>
      </c>
      <c r="F12" s="8">
        <v>375</v>
      </c>
      <c r="G12" s="8">
        <v>300</v>
      </c>
      <c r="H12" s="9">
        <v>130</v>
      </c>
      <c r="I12" s="8">
        <v>200</v>
      </c>
      <c r="J12" s="8">
        <v>375</v>
      </c>
      <c r="K12" s="8">
        <v>0</v>
      </c>
      <c r="L12" s="8">
        <v>0</v>
      </c>
      <c r="M12" s="9">
        <v>275</v>
      </c>
      <c r="N12" s="9">
        <v>375</v>
      </c>
      <c r="O12" s="8">
        <v>275</v>
      </c>
    </row>
    <row r="13" spans="1:15" ht="15" customHeight="1" x14ac:dyDescent="0.2">
      <c r="A13" s="6">
        <v>6</v>
      </c>
      <c r="B13" s="6" t="s">
        <v>22</v>
      </c>
      <c r="C13" s="7">
        <f t="shared" si="0"/>
        <v>2725</v>
      </c>
      <c r="D13" s="8">
        <v>350</v>
      </c>
      <c r="E13" s="8">
        <v>300</v>
      </c>
      <c r="F13" s="8">
        <v>0</v>
      </c>
      <c r="G13" s="8">
        <v>425</v>
      </c>
      <c r="H13" s="8">
        <v>175</v>
      </c>
      <c r="I13" s="8">
        <v>425</v>
      </c>
      <c r="J13" s="8">
        <v>300</v>
      </c>
      <c r="K13" s="8">
        <v>200</v>
      </c>
      <c r="L13" s="8">
        <v>0</v>
      </c>
      <c r="M13" s="8">
        <v>200</v>
      </c>
      <c r="N13" s="8">
        <v>350</v>
      </c>
      <c r="O13" s="8">
        <v>0</v>
      </c>
    </row>
    <row r="14" spans="1:15" ht="15" customHeight="1" x14ac:dyDescent="0.2">
      <c r="A14" s="6">
        <v>7</v>
      </c>
      <c r="B14" s="6" t="s">
        <v>65</v>
      </c>
      <c r="C14" s="7">
        <f t="shared" si="0"/>
        <v>2695</v>
      </c>
      <c r="D14" s="8">
        <v>145</v>
      </c>
      <c r="E14" s="8">
        <v>575</v>
      </c>
      <c r="F14" s="8">
        <v>0</v>
      </c>
      <c r="G14" s="8">
        <v>0</v>
      </c>
      <c r="H14" s="8">
        <v>350</v>
      </c>
      <c r="I14" s="8">
        <v>275</v>
      </c>
      <c r="J14" s="8">
        <v>200</v>
      </c>
      <c r="K14" s="8">
        <v>0</v>
      </c>
      <c r="L14" s="8">
        <v>325</v>
      </c>
      <c r="M14" s="8">
        <v>300</v>
      </c>
      <c r="N14" s="8">
        <v>275</v>
      </c>
      <c r="O14" s="8">
        <v>250</v>
      </c>
    </row>
    <row r="15" spans="1:15" ht="15" customHeight="1" x14ac:dyDescent="0.2">
      <c r="A15" s="6">
        <v>8</v>
      </c>
      <c r="B15" s="6" t="s">
        <v>24</v>
      </c>
      <c r="C15" s="7">
        <f t="shared" si="0"/>
        <v>2680</v>
      </c>
      <c r="D15" s="8">
        <v>0</v>
      </c>
      <c r="E15" s="8">
        <v>350</v>
      </c>
      <c r="F15" s="8">
        <v>0</v>
      </c>
      <c r="G15" s="8">
        <v>475</v>
      </c>
      <c r="H15" s="8">
        <v>375</v>
      </c>
      <c r="I15" s="8">
        <v>130</v>
      </c>
      <c r="J15" s="8">
        <v>475</v>
      </c>
      <c r="K15" s="8">
        <v>275</v>
      </c>
      <c r="L15" s="9">
        <v>225</v>
      </c>
      <c r="M15" s="8">
        <v>375</v>
      </c>
      <c r="N15" s="8">
        <v>0</v>
      </c>
      <c r="O15" s="8">
        <v>0</v>
      </c>
    </row>
    <row r="16" spans="1:15" ht="15" customHeight="1" x14ac:dyDescent="0.2">
      <c r="A16" s="6">
        <v>9</v>
      </c>
      <c r="B16" s="6" t="s">
        <v>87</v>
      </c>
      <c r="C16" s="7">
        <f t="shared" si="0"/>
        <v>2605</v>
      </c>
      <c r="D16" s="8">
        <v>0</v>
      </c>
      <c r="E16" s="8">
        <v>375</v>
      </c>
      <c r="F16" s="8">
        <v>0</v>
      </c>
      <c r="G16" s="8">
        <v>350</v>
      </c>
      <c r="H16" s="8">
        <v>0</v>
      </c>
      <c r="I16" s="8">
        <v>160</v>
      </c>
      <c r="J16" s="8">
        <v>225</v>
      </c>
      <c r="K16" s="8">
        <v>160</v>
      </c>
      <c r="L16" s="8">
        <v>160</v>
      </c>
      <c r="M16" s="8">
        <v>575</v>
      </c>
      <c r="N16" s="8">
        <v>225</v>
      </c>
      <c r="O16" s="8">
        <v>375</v>
      </c>
    </row>
    <row r="17" spans="1:15" ht="15" customHeight="1" x14ac:dyDescent="0.2">
      <c r="A17" s="6">
        <v>10</v>
      </c>
      <c r="B17" s="6" t="s">
        <v>60</v>
      </c>
      <c r="C17" s="7">
        <f t="shared" si="0"/>
        <v>2540</v>
      </c>
      <c r="D17" s="8">
        <v>575</v>
      </c>
      <c r="E17" s="8">
        <v>145</v>
      </c>
      <c r="F17" s="9">
        <v>575</v>
      </c>
      <c r="G17" s="8">
        <v>175</v>
      </c>
      <c r="H17" s="8">
        <v>0</v>
      </c>
      <c r="I17" s="8">
        <v>0</v>
      </c>
      <c r="J17" s="8">
        <v>0</v>
      </c>
      <c r="K17" s="8">
        <v>0</v>
      </c>
      <c r="L17" s="8">
        <v>425</v>
      </c>
      <c r="M17" s="8">
        <v>145</v>
      </c>
      <c r="N17" s="8">
        <v>325</v>
      </c>
      <c r="O17" s="8">
        <v>175</v>
      </c>
    </row>
    <row r="18" spans="1:15" ht="15" customHeight="1" x14ac:dyDescent="0.2">
      <c r="A18" s="6">
        <v>11</v>
      </c>
      <c r="B18" s="6" t="s">
        <v>30</v>
      </c>
      <c r="C18" s="8">
        <f t="shared" si="0"/>
        <v>2400</v>
      </c>
      <c r="D18" s="8">
        <v>200</v>
      </c>
      <c r="E18" s="8">
        <v>160</v>
      </c>
      <c r="F18" s="8">
        <v>0</v>
      </c>
      <c r="G18" s="8">
        <v>0</v>
      </c>
      <c r="H18" s="8">
        <v>115</v>
      </c>
      <c r="I18" s="8">
        <v>575</v>
      </c>
      <c r="J18" s="8">
        <v>250</v>
      </c>
      <c r="K18" s="8">
        <v>175</v>
      </c>
      <c r="L18" s="8">
        <v>200</v>
      </c>
      <c r="M18" s="8">
        <v>425</v>
      </c>
      <c r="N18" s="8">
        <v>300</v>
      </c>
      <c r="O18" s="8">
        <v>0</v>
      </c>
    </row>
    <row r="19" spans="1:15" ht="15" customHeight="1" x14ac:dyDescent="0.2">
      <c r="A19" s="6">
        <v>12</v>
      </c>
      <c r="B19" s="6" t="s">
        <v>154</v>
      </c>
      <c r="C19" s="8">
        <f t="shared" si="0"/>
        <v>2300</v>
      </c>
      <c r="D19" s="8">
        <v>475</v>
      </c>
      <c r="E19" s="8">
        <v>200</v>
      </c>
      <c r="F19" s="8">
        <v>0</v>
      </c>
      <c r="G19" s="8">
        <v>325</v>
      </c>
      <c r="H19" s="8">
        <v>300</v>
      </c>
      <c r="I19" s="8">
        <v>250</v>
      </c>
      <c r="J19" s="8">
        <v>0</v>
      </c>
      <c r="K19" s="8">
        <v>0</v>
      </c>
      <c r="L19" s="8">
        <v>575</v>
      </c>
      <c r="M19" s="9">
        <v>175</v>
      </c>
      <c r="N19" s="8">
        <v>0</v>
      </c>
      <c r="O19" s="8">
        <v>0</v>
      </c>
    </row>
    <row r="20" spans="1:15" ht="15" customHeight="1" x14ac:dyDescent="0.2">
      <c r="A20" s="6">
        <v>13</v>
      </c>
      <c r="B20" s="6" t="s">
        <v>32</v>
      </c>
      <c r="C20" s="8">
        <f t="shared" si="0"/>
        <v>2200</v>
      </c>
      <c r="D20" s="8">
        <v>375</v>
      </c>
      <c r="E20" s="8">
        <v>275</v>
      </c>
      <c r="F20" s="8">
        <v>325</v>
      </c>
      <c r="G20" s="8">
        <v>0</v>
      </c>
      <c r="H20" s="8">
        <v>475</v>
      </c>
      <c r="I20" s="8">
        <v>0</v>
      </c>
      <c r="J20" s="8">
        <v>0</v>
      </c>
      <c r="K20" s="8">
        <v>225</v>
      </c>
      <c r="L20" s="8">
        <v>250</v>
      </c>
      <c r="M20" s="8">
        <v>0</v>
      </c>
      <c r="N20" s="8">
        <v>160</v>
      </c>
      <c r="O20" s="8">
        <v>115</v>
      </c>
    </row>
    <row r="21" spans="1:15" ht="15" customHeight="1" x14ac:dyDescent="0.2">
      <c r="A21" s="6">
        <v>14</v>
      </c>
      <c r="B21" s="6" t="s">
        <v>7</v>
      </c>
      <c r="C21" s="8">
        <f t="shared" si="0"/>
        <v>1930</v>
      </c>
      <c r="D21" s="8">
        <v>160</v>
      </c>
      <c r="E21" s="8">
        <v>0</v>
      </c>
      <c r="F21" s="8">
        <v>0</v>
      </c>
      <c r="G21" s="8">
        <v>0</v>
      </c>
      <c r="H21" s="8">
        <v>145</v>
      </c>
      <c r="I21" s="8">
        <v>300</v>
      </c>
      <c r="J21" s="8">
        <v>0</v>
      </c>
      <c r="K21" s="8">
        <v>300</v>
      </c>
      <c r="L21" s="8">
        <v>350</v>
      </c>
      <c r="M21" s="8">
        <v>0</v>
      </c>
      <c r="N21" s="8">
        <v>250</v>
      </c>
      <c r="O21" s="8">
        <v>425</v>
      </c>
    </row>
    <row r="22" spans="1:15" ht="15" customHeight="1" x14ac:dyDescent="0.2">
      <c r="A22" s="6">
        <v>15</v>
      </c>
      <c r="B22" s="6" t="s">
        <v>126</v>
      </c>
      <c r="C22" s="8">
        <f t="shared" si="0"/>
        <v>1895</v>
      </c>
      <c r="D22" s="8">
        <v>0</v>
      </c>
      <c r="E22" s="8">
        <v>250</v>
      </c>
      <c r="F22" s="8">
        <v>200</v>
      </c>
      <c r="G22" s="8">
        <v>275</v>
      </c>
      <c r="H22" s="8">
        <v>160</v>
      </c>
      <c r="I22" s="8">
        <v>115</v>
      </c>
      <c r="J22" s="8">
        <v>175</v>
      </c>
      <c r="K22" s="8">
        <v>0</v>
      </c>
      <c r="L22" s="8">
        <v>115</v>
      </c>
      <c r="M22" s="8">
        <v>250</v>
      </c>
      <c r="N22" s="8">
        <v>130</v>
      </c>
      <c r="O22" s="8">
        <v>225</v>
      </c>
    </row>
    <row r="23" spans="1:15" ht="15" customHeight="1" x14ac:dyDescent="0.2">
      <c r="A23" s="6">
        <v>16</v>
      </c>
      <c r="B23" s="6" t="s">
        <v>54</v>
      </c>
      <c r="C23" s="8">
        <f t="shared" si="0"/>
        <v>1875</v>
      </c>
      <c r="D23" s="8">
        <v>0</v>
      </c>
      <c r="E23" s="8">
        <v>0</v>
      </c>
      <c r="F23" s="8">
        <v>225</v>
      </c>
      <c r="G23" s="8">
        <v>0</v>
      </c>
      <c r="H23" s="8">
        <v>425</v>
      </c>
      <c r="I23" s="8">
        <v>350</v>
      </c>
      <c r="J23" s="8">
        <v>350</v>
      </c>
      <c r="K23" s="8">
        <v>250</v>
      </c>
      <c r="L23" s="8">
        <v>0</v>
      </c>
      <c r="M23" s="8">
        <v>0</v>
      </c>
      <c r="N23" s="8">
        <v>115</v>
      </c>
      <c r="O23" s="8">
        <v>160</v>
      </c>
    </row>
    <row r="24" spans="1:15" ht="15" customHeight="1" x14ac:dyDescent="0.2">
      <c r="A24" s="6">
        <v>17</v>
      </c>
      <c r="B24" s="6" t="s">
        <v>61</v>
      </c>
      <c r="C24" s="8">
        <f t="shared" si="0"/>
        <v>1720</v>
      </c>
      <c r="D24" s="8">
        <v>0</v>
      </c>
      <c r="E24" s="8">
        <v>475</v>
      </c>
      <c r="F24" s="8">
        <v>250</v>
      </c>
      <c r="G24" s="8">
        <v>160</v>
      </c>
      <c r="H24" s="8">
        <v>0</v>
      </c>
      <c r="I24" s="8">
        <v>0</v>
      </c>
      <c r="J24" s="8">
        <v>575</v>
      </c>
      <c r="K24" s="8">
        <v>0</v>
      </c>
      <c r="L24" s="8">
        <v>0</v>
      </c>
      <c r="M24" s="8">
        <v>115</v>
      </c>
      <c r="N24" s="8">
        <v>0</v>
      </c>
      <c r="O24" s="8">
        <v>145</v>
      </c>
    </row>
    <row r="25" spans="1:15" ht="15" customHeight="1" x14ac:dyDescent="0.2">
      <c r="A25" s="6">
        <v>18</v>
      </c>
      <c r="B25" s="6" t="s">
        <v>110</v>
      </c>
      <c r="C25" s="8">
        <f t="shared" si="0"/>
        <v>1640</v>
      </c>
      <c r="D25" s="8">
        <v>250</v>
      </c>
      <c r="E25" s="8">
        <v>0</v>
      </c>
      <c r="F25" s="8">
        <v>0</v>
      </c>
      <c r="G25" s="8">
        <v>200</v>
      </c>
      <c r="H25" s="8">
        <v>250</v>
      </c>
      <c r="I25" s="8">
        <v>0</v>
      </c>
      <c r="J25" s="8">
        <v>145</v>
      </c>
      <c r="K25" s="8">
        <v>325</v>
      </c>
      <c r="L25" s="8">
        <v>145</v>
      </c>
      <c r="M25" s="8">
        <v>325</v>
      </c>
      <c r="N25" s="8">
        <v>0</v>
      </c>
      <c r="O25" s="8">
        <v>0</v>
      </c>
    </row>
    <row r="26" spans="1:15" ht="15" customHeight="1" x14ac:dyDescent="0.2">
      <c r="A26" s="6">
        <v>19</v>
      </c>
      <c r="B26" s="6" t="s">
        <v>18</v>
      </c>
      <c r="C26" s="8">
        <f t="shared" si="0"/>
        <v>1555</v>
      </c>
      <c r="D26" s="8">
        <v>225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130</v>
      </c>
      <c r="K26" s="8">
        <v>350</v>
      </c>
      <c r="L26" s="8">
        <v>275</v>
      </c>
      <c r="M26" s="8">
        <v>0</v>
      </c>
      <c r="N26" s="8">
        <v>0</v>
      </c>
      <c r="O26" s="8">
        <v>575</v>
      </c>
    </row>
    <row r="27" spans="1:15" ht="15" customHeight="1" x14ac:dyDescent="0.2">
      <c r="A27" s="6">
        <v>20</v>
      </c>
      <c r="B27" s="6" t="s">
        <v>10</v>
      </c>
      <c r="C27" s="8">
        <f t="shared" si="0"/>
        <v>1205</v>
      </c>
      <c r="D27" s="8">
        <v>130</v>
      </c>
      <c r="E27" s="8">
        <v>0</v>
      </c>
      <c r="F27" s="8">
        <v>425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300</v>
      </c>
      <c r="M27" s="8">
        <v>0</v>
      </c>
      <c r="N27" s="8">
        <v>0</v>
      </c>
      <c r="O27" s="8">
        <v>350</v>
      </c>
    </row>
    <row r="28" spans="1:15" ht="15" customHeight="1" x14ac:dyDescent="0.2">
      <c r="A28" s="6">
        <v>21</v>
      </c>
      <c r="B28" s="6" t="s">
        <v>130</v>
      </c>
      <c r="C28" s="8">
        <f t="shared" si="0"/>
        <v>980</v>
      </c>
      <c r="D28" s="8">
        <v>0</v>
      </c>
      <c r="E28" s="8">
        <v>130</v>
      </c>
      <c r="F28" s="8">
        <v>0</v>
      </c>
      <c r="G28" s="8">
        <v>0</v>
      </c>
      <c r="H28" s="8">
        <v>275</v>
      </c>
      <c r="I28" s="8">
        <v>0</v>
      </c>
      <c r="J28" s="8">
        <v>0</v>
      </c>
      <c r="K28" s="8">
        <v>575</v>
      </c>
      <c r="L28" s="8">
        <v>0</v>
      </c>
      <c r="M28" s="8">
        <v>0</v>
      </c>
      <c r="N28" s="8">
        <v>0</v>
      </c>
      <c r="O28" s="8">
        <v>0</v>
      </c>
    </row>
    <row r="29" spans="1:15" ht="15" customHeight="1" x14ac:dyDescent="0.2">
      <c r="A29" s="6">
        <v>22</v>
      </c>
      <c r="B29" s="6" t="s">
        <v>14</v>
      </c>
      <c r="C29" s="8">
        <f t="shared" si="0"/>
        <v>805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475</v>
      </c>
      <c r="J29" s="8">
        <v>0</v>
      </c>
      <c r="K29" s="8">
        <v>130</v>
      </c>
      <c r="L29" s="8">
        <v>0</v>
      </c>
      <c r="M29" s="8">
        <v>0</v>
      </c>
      <c r="N29" s="8">
        <v>200</v>
      </c>
      <c r="O29" s="8">
        <v>0</v>
      </c>
    </row>
    <row r="30" spans="1:15" ht="15" customHeight="1" x14ac:dyDescent="0.2">
      <c r="A30" s="6">
        <v>23</v>
      </c>
      <c r="B30" s="6" t="s">
        <v>150</v>
      </c>
      <c r="C30" s="8">
        <f t="shared" si="0"/>
        <v>695</v>
      </c>
      <c r="D30" s="8">
        <v>0</v>
      </c>
      <c r="E30" s="8">
        <v>0</v>
      </c>
      <c r="F30" s="8">
        <v>0</v>
      </c>
      <c r="G30" s="8">
        <v>145</v>
      </c>
      <c r="H30" s="8">
        <v>0</v>
      </c>
      <c r="I30" s="8">
        <v>175</v>
      </c>
      <c r="J30" s="8">
        <v>115</v>
      </c>
      <c r="K30" s="8">
        <v>0</v>
      </c>
      <c r="L30" s="8">
        <v>0</v>
      </c>
      <c r="M30" s="8">
        <v>130</v>
      </c>
      <c r="N30" s="8">
        <v>0</v>
      </c>
      <c r="O30" s="8">
        <v>130</v>
      </c>
    </row>
    <row r="31" spans="1:15" ht="15" customHeight="1" x14ac:dyDescent="0.2">
      <c r="A31" s="6">
        <v>24</v>
      </c>
      <c r="B31" s="6" t="s">
        <v>11</v>
      </c>
      <c r="C31" s="8">
        <f t="shared" si="0"/>
        <v>375</v>
      </c>
      <c r="D31" s="8">
        <v>0</v>
      </c>
      <c r="E31" s="8">
        <v>0</v>
      </c>
      <c r="F31" s="8">
        <v>0</v>
      </c>
      <c r="G31" s="8">
        <v>375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</row>
    <row r="32" spans="1:15" ht="15" customHeight="1" x14ac:dyDescent="0.2">
      <c r="A32" s="6">
        <v>25</v>
      </c>
      <c r="B32" s="6" t="s">
        <v>80</v>
      </c>
      <c r="C32" s="8">
        <f t="shared" si="0"/>
        <v>300</v>
      </c>
      <c r="D32" s="8">
        <v>300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</row>
    <row r="33" spans="1:15" ht="15" customHeight="1" x14ac:dyDescent="0.2">
      <c r="A33" s="6">
        <v>26</v>
      </c>
      <c r="B33" s="6" t="s">
        <v>157</v>
      </c>
      <c r="C33" s="8">
        <f t="shared" si="0"/>
        <v>225</v>
      </c>
      <c r="D33" s="8">
        <v>0</v>
      </c>
      <c r="E33" s="8">
        <v>225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</row>
    <row r="34" spans="1:15" ht="15" customHeight="1" x14ac:dyDescent="0.2">
      <c r="A34" s="6">
        <v>27</v>
      </c>
      <c r="B34" s="6" t="s">
        <v>161</v>
      </c>
      <c r="C34" s="8">
        <f t="shared" si="0"/>
        <v>175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175</v>
      </c>
      <c r="O34" s="8">
        <v>0</v>
      </c>
    </row>
    <row r="35" spans="1:15" ht="15" customHeight="1" x14ac:dyDescent="0.2">
      <c r="A35" s="6">
        <v>27</v>
      </c>
      <c r="B35" s="6" t="s">
        <v>158</v>
      </c>
      <c r="C35" s="8">
        <f t="shared" si="0"/>
        <v>175</v>
      </c>
      <c r="D35" s="8">
        <v>0</v>
      </c>
      <c r="E35" s="8">
        <v>0</v>
      </c>
      <c r="F35" s="8">
        <v>175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</row>
    <row r="36" spans="1:15" ht="15" customHeight="1" x14ac:dyDescent="0.2">
      <c r="A36" s="6">
        <v>28</v>
      </c>
      <c r="B36" s="6" t="s">
        <v>159</v>
      </c>
      <c r="C36" s="8">
        <f t="shared" si="0"/>
        <v>115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115</v>
      </c>
      <c r="L36" s="8">
        <v>0</v>
      </c>
      <c r="M36" s="8">
        <v>0</v>
      </c>
      <c r="N36" s="8">
        <v>0</v>
      </c>
      <c r="O36" s="8">
        <v>0</v>
      </c>
    </row>
    <row r="38" spans="1:15" ht="18.75" customHeight="1" x14ac:dyDescent="0.25">
      <c r="A38" s="48" t="s">
        <v>3</v>
      </c>
      <c r="B38" s="49"/>
      <c r="C38" s="49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</row>
    <row r="39" spans="1:15" ht="18.75" customHeight="1" x14ac:dyDescent="0.25">
      <c r="A39" s="50" t="s">
        <v>4</v>
      </c>
      <c r="B39" s="51"/>
      <c r="C39" s="51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</row>
    <row r="40" spans="1:15" ht="18.75" customHeight="1" x14ac:dyDescent="0.25">
      <c r="A40" s="52" t="s">
        <v>5</v>
      </c>
      <c r="B40" s="53"/>
      <c r="C40" s="53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</row>
  </sheetData>
  <mergeCells count="9">
    <mergeCell ref="A38:C38"/>
    <mergeCell ref="A39:C39"/>
    <mergeCell ref="A40:C40"/>
    <mergeCell ref="A1:O1"/>
    <mergeCell ref="A2:O2"/>
    <mergeCell ref="A3:O3"/>
    <mergeCell ref="A4:O4"/>
    <mergeCell ref="A5:O5"/>
    <mergeCell ref="A6:O6"/>
  </mergeCells>
  <pageMargins left="0.7" right="0.7" top="0.75" bottom="0.75" header="0.3" footer="0.3"/>
  <pageSetup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6"/>
  <sheetViews>
    <sheetView workbookViewId="0">
      <selection activeCell="C8" sqref="C8"/>
    </sheetView>
  </sheetViews>
  <sheetFormatPr defaultRowHeight="12.75" x14ac:dyDescent="0.2"/>
  <cols>
    <col min="1" max="1" width="8.42578125" customWidth="1"/>
    <col min="2" max="2" width="26.28515625" customWidth="1"/>
    <col min="3" max="3" width="9.5703125" customWidth="1"/>
    <col min="4" max="15" width="6.7109375" customWidth="1"/>
    <col min="16" max="16" width="8.7109375" customWidth="1"/>
  </cols>
  <sheetData>
    <row r="1" spans="1:15" ht="126" customHeight="1" x14ac:dyDescent="0.2">
      <c r="A1" s="36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</row>
    <row r="2" spans="1:15" ht="45" customHeight="1" x14ac:dyDescent="0.5">
      <c r="A2" s="54" t="s">
        <v>152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</row>
    <row r="3" spans="1:15" ht="40.5" customHeight="1" x14ac:dyDescent="0.4">
      <c r="A3" s="55" t="s">
        <v>156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</row>
    <row r="4" spans="1:15" ht="9.75" customHeight="1" x14ac:dyDescent="0.4">
      <c r="A4" s="55"/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</row>
    <row r="5" spans="1:15" ht="30" customHeight="1" x14ac:dyDescent="0.4">
      <c r="A5" s="57" t="s">
        <v>9</v>
      </c>
      <c r="B5" s="58"/>
      <c r="C5" s="58"/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</row>
    <row r="6" spans="1:15" ht="16.5" customHeight="1" x14ac:dyDescent="0.2">
      <c r="A6" s="38"/>
      <c r="B6" s="38"/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</row>
    <row r="7" spans="1:15" ht="15" customHeight="1" x14ac:dyDescent="0.25">
      <c r="A7" s="1" t="s">
        <v>1</v>
      </c>
      <c r="B7" s="1" t="s">
        <v>0</v>
      </c>
      <c r="C7" s="1" t="s">
        <v>2</v>
      </c>
      <c r="D7" s="2">
        <v>44976</v>
      </c>
      <c r="E7" s="2">
        <v>44983</v>
      </c>
      <c r="F7" s="2">
        <v>44997</v>
      </c>
      <c r="G7" s="2">
        <v>45004</v>
      </c>
      <c r="H7" s="2">
        <v>45011</v>
      </c>
      <c r="I7" s="2">
        <v>45018</v>
      </c>
      <c r="J7" s="2">
        <v>45032</v>
      </c>
      <c r="K7" s="2">
        <v>45039</v>
      </c>
      <c r="L7" s="2">
        <v>45046</v>
      </c>
      <c r="M7" s="2">
        <v>45053</v>
      </c>
      <c r="N7" s="2">
        <v>45060</v>
      </c>
      <c r="O7" s="2">
        <v>45067</v>
      </c>
    </row>
    <row r="8" spans="1:15" ht="15" customHeight="1" x14ac:dyDescent="0.2">
      <c r="A8" s="6">
        <v>1</v>
      </c>
      <c r="B8" s="6" t="s">
        <v>16</v>
      </c>
      <c r="C8" s="7">
        <f t="shared" ref="C8:C42" si="0">D8+E8+F8+G8+H8+I8+J8+K8+L8+M8+N8+O8</f>
        <v>4225</v>
      </c>
      <c r="D8" s="8">
        <v>350</v>
      </c>
      <c r="E8" s="9">
        <v>250</v>
      </c>
      <c r="F8" s="8">
        <v>325</v>
      </c>
      <c r="G8" s="8">
        <v>250</v>
      </c>
      <c r="H8" s="8">
        <v>375</v>
      </c>
      <c r="I8" s="8">
        <v>475</v>
      </c>
      <c r="J8" s="8">
        <v>175</v>
      </c>
      <c r="K8" s="9">
        <v>375</v>
      </c>
      <c r="L8" s="8">
        <v>575</v>
      </c>
      <c r="M8" s="8">
        <v>300</v>
      </c>
      <c r="N8" s="8">
        <v>425</v>
      </c>
      <c r="O8" s="8">
        <v>350</v>
      </c>
    </row>
    <row r="9" spans="1:15" ht="15" customHeight="1" x14ac:dyDescent="0.2">
      <c r="A9" s="6">
        <v>2</v>
      </c>
      <c r="B9" s="6" t="s">
        <v>89</v>
      </c>
      <c r="C9" s="7">
        <f t="shared" si="0"/>
        <v>3350</v>
      </c>
      <c r="D9" s="8">
        <v>225</v>
      </c>
      <c r="E9" s="8">
        <v>350</v>
      </c>
      <c r="F9" s="8">
        <v>250</v>
      </c>
      <c r="G9" s="8">
        <v>575</v>
      </c>
      <c r="H9" s="8">
        <v>200</v>
      </c>
      <c r="I9" s="8">
        <v>325</v>
      </c>
      <c r="J9" s="8">
        <v>350</v>
      </c>
      <c r="K9" s="8">
        <v>0</v>
      </c>
      <c r="L9" s="8">
        <v>325</v>
      </c>
      <c r="M9" s="8">
        <v>375</v>
      </c>
      <c r="N9" s="8">
        <v>175</v>
      </c>
      <c r="O9" s="8">
        <v>200</v>
      </c>
    </row>
    <row r="10" spans="1:15" ht="15" customHeight="1" x14ac:dyDescent="0.2">
      <c r="A10" s="6">
        <v>3</v>
      </c>
      <c r="B10" s="6" t="s">
        <v>128</v>
      </c>
      <c r="C10" s="7">
        <f t="shared" si="0"/>
        <v>3300</v>
      </c>
      <c r="D10" s="8">
        <v>275</v>
      </c>
      <c r="E10" s="8">
        <v>375</v>
      </c>
      <c r="F10" s="8">
        <v>200</v>
      </c>
      <c r="G10" s="8">
        <v>0</v>
      </c>
      <c r="H10" s="8">
        <v>350</v>
      </c>
      <c r="I10" s="8">
        <v>350</v>
      </c>
      <c r="J10" s="8">
        <v>300</v>
      </c>
      <c r="K10" s="8">
        <v>275</v>
      </c>
      <c r="L10" s="8">
        <v>200</v>
      </c>
      <c r="M10" s="8">
        <v>175</v>
      </c>
      <c r="N10" s="8">
        <v>375</v>
      </c>
      <c r="O10" s="8">
        <v>425</v>
      </c>
    </row>
    <row r="11" spans="1:15" ht="15" customHeight="1" x14ac:dyDescent="0.2">
      <c r="A11" s="6">
        <v>4</v>
      </c>
      <c r="B11" s="6" t="s">
        <v>22</v>
      </c>
      <c r="C11" s="7">
        <f t="shared" si="0"/>
        <v>3285</v>
      </c>
      <c r="D11" s="8">
        <v>0</v>
      </c>
      <c r="E11" s="8">
        <v>0</v>
      </c>
      <c r="F11" s="8">
        <v>575</v>
      </c>
      <c r="G11" s="8">
        <v>475</v>
      </c>
      <c r="H11" s="8">
        <v>475</v>
      </c>
      <c r="I11" s="8">
        <v>575</v>
      </c>
      <c r="J11" s="8">
        <v>375</v>
      </c>
      <c r="K11" s="8">
        <v>425</v>
      </c>
      <c r="L11" s="8">
        <v>0</v>
      </c>
      <c r="M11" s="8">
        <v>160</v>
      </c>
      <c r="N11" s="8">
        <v>225</v>
      </c>
      <c r="O11" s="8">
        <v>0</v>
      </c>
    </row>
    <row r="12" spans="1:15" ht="15" customHeight="1" x14ac:dyDescent="0.2">
      <c r="A12" s="6">
        <v>5</v>
      </c>
      <c r="B12" s="6" t="s">
        <v>110</v>
      </c>
      <c r="C12" s="7">
        <f t="shared" si="0"/>
        <v>3150</v>
      </c>
      <c r="D12" s="8">
        <v>575</v>
      </c>
      <c r="E12" s="8">
        <v>300</v>
      </c>
      <c r="F12" s="9">
        <v>175</v>
      </c>
      <c r="G12" s="8">
        <v>0</v>
      </c>
      <c r="H12" s="8">
        <v>0</v>
      </c>
      <c r="I12" s="8">
        <v>300</v>
      </c>
      <c r="J12" s="8">
        <v>0</v>
      </c>
      <c r="K12" s="8">
        <v>475</v>
      </c>
      <c r="L12" s="8">
        <v>275</v>
      </c>
      <c r="M12" s="8">
        <v>575</v>
      </c>
      <c r="N12" s="8">
        <v>300</v>
      </c>
      <c r="O12" s="8">
        <v>175</v>
      </c>
    </row>
    <row r="13" spans="1:15" ht="15" customHeight="1" x14ac:dyDescent="0.2">
      <c r="A13" s="6">
        <v>6</v>
      </c>
      <c r="B13" s="6" t="s">
        <v>24</v>
      </c>
      <c r="C13" s="7">
        <f t="shared" si="0"/>
        <v>3025</v>
      </c>
      <c r="D13" s="8">
        <v>425</v>
      </c>
      <c r="E13" s="8">
        <v>0</v>
      </c>
      <c r="F13" s="8">
        <v>375</v>
      </c>
      <c r="G13" s="8">
        <v>0</v>
      </c>
      <c r="H13" s="8">
        <v>300</v>
      </c>
      <c r="I13" s="8">
        <v>0</v>
      </c>
      <c r="J13" s="8">
        <v>475</v>
      </c>
      <c r="K13" s="8">
        <v>350</v>
      </c>
      <c r="L13" s="9">
        <v>475</v>
      </c>
      <c r="M13" s="8">
        <v>325</v>
      </c>
      <c r="N13" s="8">
        <v>0</v>
      </c>
      <c r="O13" s="8">
        <v>300</v>
      </c>
    </row>
    <row r="14" spans="1:15" ht="15" customHeight="1" x14ac:dyDescent="0.2">
      <c r="A14" s="6">
        <v>7</v>
      </c>
      <c r="B14" s="6" t="s">
        <v>87</v>
      </c>
      <c r="C14" s="7">
        <f t="shared" si="0"/>
        <v>2960</v>
      </c>
      <c r="D14" s="8">
        <v>160</v>
      </c>
      <c r="E14" s="8">
        <v>475</v>
      </c>
      <c r="F14" s="8">
        <v>0</v>
      </c>
      <c r="G14" s="8">
        <v>175</v>
      </c>
      <c r="H14" s="8">
        <v>575</v>
      </c>
      <c r="I14" s="8">
        <v>200</v>
      </c>
      <c r="J14" s="8">
        <v>275</v>
      </c>
      <c r="K14" s="8">
        <v>0</v>
      </c>
      <c r="L14" s="8">
        <v>250</v>
      </c>
      <c r="M14" s="8">
        <v>0</v>
      </c>
      <c r="N14" s="8">
        <v>575</v>
      </c>
      <c r="O14" s="8">
        <v>275</v>
      </c>
    </row>
    <row r="15" spans="1:15" ht="15" customHeight="1" x14ac:dyDescent="0.2">
      <c r="A15" s="6">
        <v>8</v>
      </c>
      <c r="B15" s="6" t="s">
        <v>30</v>
      </c>
      <c r="C15" s="7">
        <f t="shared" si="0"/>
        <v>2820</v>
      </c>
      <c r="D15" s="8">
        <v>375</v>
      </c>
      <c r="E15" s="8">
        <v>0</v>
      </c>
      <c r="F15" s="8">
        <v>0</v>
      </c>
      <c r="G15" s="8">
        <v>425</v>
      </c>
      <c r="H15" s="8">
        <v>250</v>
      </c>
      <c r="I15" s="8">
        <v>425</v>
      </c>
      <c r="J15" s="8">
        <v>250</v>
      </c>
      <c r="K15" s="8">
        <v>200</v>
      </c>
      <c r="L15" s="8">
        <v>175</v>
      </c>
      <c r="M15" s="8">
        <v>145</v>
      </c>
      <c r="N15" s="8">
        <v>0</v>
      </c>
      <c r="O15" s="8">
        <v>575</v>
      </c>
    </row>
    <row r="16" spans="1:15" ht="15" customHeight="1" x14ac:dyDescent="0.2">
      <c r="A16" s="6">
        <v>9</v>
      </c>
      <c r="B16" s="6" t="s">
        <v>32</v>
      </c>
      <c r="C16" s="7">
        <f t="shared" si="0"/>
        <v>2775</v>
      </c>
      <c r="D16" s="8">
        <v>0</v>
      </c>
      <c r="E16" s="8">
        <v>575</v>
      </c>
      <c r="F16" s="8">
        <v>225</v>
      </c>
      <c r="G16" s="8">
        <v>350</v>
      </c>
      <c r="H16" s="8">
        <v>0</v>
      </c>
      <c r="I16" s="8">
        <v>375</v>
      </c>
      <c r="J16" s="8">
        <v>200</v>
      </c>
      <c r="K16" s="8">
        <v>325</v>
      </c>
      <c r="L16" s="8">
        <v>0</v>
      </c>
      <c r="M16" s="8">
        <v>475</v>
      </c>
      <c r="N16" s="8">
        <v>0</v>
      </c>
      <c r="O16" s="8">
        <v>250</v>
      </c>
    </row>
    <row r="17" spans="1:15" ht="15" customHeight="1" x14ac:dyDescent="0.2">
      <c r="A17" s="6">
        <v>10</v>
      </c>
      <c r="B17" s="6" t="s">
        <v>19</v>
      </c>
      <c r="C17" s="7">
        <f t="shared" si="0"/>
        <v>2230</v>
      </c>
      <c r="D17" s="8">
        <v>200</v>
      </c>
      <c r="E17" s="9">
        <v>275</v>
      </c>
      <c r="F17" s="8">
        <v>145</v>
      </c>
      <c r="G17" s="8">
        <v>225</v>
      </c>
      <c r="H17" s="8">
        <v>275</v>
      </c>
      <c r="I17" s="8">
        <v>250</v>
      </c>
      <c r="J17" s="8">
        <v>0</v>
      </c>
      <c r="K17" s="8">
        <v>175</v>
      </c>
      <c r="L17" s="8">
        <v>425</v>
      </c>
      <c r="M17" s="8">
        <v>130</v>
      </c>
      <c r="N17" s="8">
        <v>130</v>
      </c>
      <c r="O17" s="8">
        <v>0</v>
      </c>
    </row>
    <row r="18" spans="1:15" ht="15" customHeight="1" x14ac:dyDescent="0.2">
      <c r="A18" s="6">
        <v>11</v>
      </c>
      <c r="B18" s="6" t="s">
        <v>7</v>
      </c>
      <c r="C18" s="8">
        <f t="shared" si="0"/>
        <v>2210</v>
      </c>
      <c r="D18" s="8">
        <v>250</v>
      </c>
      <c r="E18" s="8">
        <v>0</v>
      </c>
      <c r="F18" s="8">
        <v>350</v>
      </c>
      <c r="G18" s="8">
        <v>300</v>
      </c>
      <c r="H18" s="8">
        <v>0</v>
      </c>
      <c r="I18" s="8">
        <v>0</v>
      </c>
      <c r="J18" s="8">
        <v>575</v>
      </c>
      <c r="K18" s="8">
        <v>575</v>
      </c>
      <c r="L18" s="8">
        <v>0</v>
      </c>
      <c r="M18" s="8">
        <v>0</v>
      </c>
      <c r="N18" s="8">
        <v>0</v>
      </c>
      <c r="O18" s="8">
        <v>160</v>
      </c>
    </row>
    <row r="19" spans="1:15" ht="15" customHeight="1" x14ac:dyDescent="0.2">
      <c r="A19" s="6">
        <v>12</v>
      </c>
      <c r="B19" s="6" t="s">
        <v>127</v>
      </c>
      <c r="C19" s="8">
        <f t="shared" si="0"/>
        <v>2105</v>
      </c>
      <c r="D19" s="8">
        <v>130</v>
      </c>
      <c r="E19" s="8">
        <v>0</v>
      </c>
      <c r="F19" s="8">
        <v>0</v>
      </c>
      <c r="G19" s="8">
        <v>375</v>
      </c>
      <c r="H19" s="9">
        <v>425</v>
      </c>
      <c r="I19" s="8">
        <v>275</v>
      </c>
      <c r="J19" s="8">
        <v>0</v>
      </c>
      <c r="K19" s="8">
        <v>0</v>
      </c>
      <c r="L19" s="8">
        <v>225</v>
      </c>
      <c r="M19" s="9">
        <v>350</v>
      </c>
      <c r="N19" s="9">
        <v>325</v>
      </c>
      <c r="O19" s="8">
        <v>0</v>
      </c>
    </row>
    <row r="20" spans="1:15" ht="15" customHeight="1" x14ac:dyDescent="0.2">
      <c r="A20" s="6">
        <v>13</v>
      </c>
      <c r="B20" s="6" t="s">
        <v>60</v>
      </c>
      <c r="C20" s="8">
        <f t="shared" si="0"/>
        <v>2080</v>
      </c>
      <c r="D20" s="8">
        <v>145</v>
      </c>
      <c r="E20" s="8">
        <v>0</v>
      </c>
      <c r="F20" s="9">
        <v>275</v>
      </c>
      <c r="G20" s="8">
        <v>200</v>
      </c>
      <c r="H20" s="8">
        <v>225</v>
      </c>
      <c r="I20" s="8">
        <v>0</v>
      </c>
      <c r="J20" s="8">
        <v>160</v>
      </c>
      <c r="K20" s="8">
        <v>250</v>
      </c>
      <c r="L20" s="8">
        <v>0</v>
      </c>
      <c r="M20" s="8">
        <v>250</v>
      </c>
      <c r="N20" s="8">
        <v>200</v>
      </c>
      <c r="O20" s="8">
        <v>375</v>
      </c>
    </row>
    <row r="21" spans="1:15" ht="15" customHeight="1" x14ac:dyDescent="0.2">
      <c r="A21" s="6">
        <v>14</v>
      </c>
      <c r="B21" s="6" t="s">
        <v>61</v>
      </c>
      <c r="C21" s="8">
        <f t="shared" si="0"/>
        <v>1940</v>
      </c>
      <c r="D21" s="8">
        <v>115</v>
      </c>
      <c r="E21" s="8">
        <v>0</v>
      </c>
      <c r="F21" s="8">
        <v>425</v>
      </c>
      <c r="G21" s="8">
        <v>275</v>
      </c>
      <c r="H21" s="8">
        <v>325</v>
      </c>
      <c r="I21" s="8">
        <v>0</v>
      </c>
      <c r="J21" s="8">
        <v>0</v>
      </c>
      <c r="K21" s="8">
        <v>0</v>
      </c>
      <c r="L21" s="8">
        <v>0</v>
      </c>
      <c r="M21" s="8">
        <v>225</v>
      </c>
      <c r="N21" s="8">
        <v>250</v>
      </c>
      <c r="O21" s="8">
        <v>325</v>
      </c>
    </row>
    <row r="22" spans="1:15" ht="15" customHeight="1" x14ac:dyDescent="0.2">
      <c r="A22" s="6">
        <v>15</v>
      </c>
      <c r="B22" s="6" t="s">
        <v>65</v>
      </c>
      <c r="C22" s="8">
        <f t="shared" si="0"/>
        <v>1325</v>
      </c>
      <c r="D22" s="8">
        <v>475</v>
      </c>
      <c r="E22" s="8">
        <v>0</v>
      </c>
      <c r="F22" s="8">
        <v>0</v>
      </c>
      <c r="G22" s="8">
        <v>325</v>
      </c>
      <c r="H22" s="8">
        <v>0</v>
      </c>
      <c r="I22" s="8">
        <v>225</v>
      </c>
      <c r="J22" s="8">
        <v>0</v>
      </c>
      <c r="K22" s="8">
        <v>0</v>
      </c>
      <c r="L22" s="8">
        <v>300</v>
      </c>
      <c r="M22" s="8">
        <v>0</v>
      </c>
      <c r="N22" s="8">
        <v>0</v>
      </c>
      <c r="O22" s="8">
        <v>0</v>
      </c>
    </row>
    <row r="23" spans="1:15" ht="15" customHeight="1" x14ac:dyDescent="0.2">
      <c r="A23" s="6">
        <v>16</v>
      </c>
      <c r="B23" s="6" t="s">
        <v>126</v>
      </c>
      <c r="C23" s="8">
        <f t="shared" si="0"/>
        <v>1235</v>
      </c>
      <c r="D23" s="8">
        <v>0</v>
      </c>
      <c r="E23" s="8">
        <v>0</v>
      </c>
      <c r="F23" s="8">
        <v>0</v>
      </c>
      <c r="G23" s="8">
        <v>160</v>
      </c>
      <c r="H23" s="8">
        <v>175</v>
      </c>
      <c r="I23" s="8">
        <v>0</v>
      </c>
      <c r="J23" s="8">
        <v>0</v>
      </c>
      <c r="K23" s="8">
        <v>0</v>
      </c>
      <c r="L23" s="8">
        <v>350</v>
      </c>
      <c r="M23" s="8">
        <v>275</v>
      </c>
      <c r="N23" s="8">
        <v>275</v>
      </c>
      <c r="O23" s="8">
        <v>0</v>
      </c>
    </row>
    <row r="24" spans="1:15" ht="15" customHeight="1" x14ac:dyDescent="0.2">
      <c r="A24" s="6">
        <v>17</v>
      </c>
      <c r="B24" s="6" t="s">
        <v>14</v>
      </c>
      <c r="C24" s="8">
        <f t="shared" si="0"/>
        <v>1195</v>
      </c>
      <c r="D24" s="8">
        <v>175</v>
      </c>
      <c r="E24" s="8">
        <v>0</v>
      </c>
      <c r="F24" s="9">
        <v>160</v>
      </c>
      <c r="G24" s="8">
        <v>0</v>
      </c>
      <c r="H24" s="8">
        <v>0</v>
      </c>
      <c r="I24" s="8">
        <v>0</v>
      </c>
      <c r="J24" s="8">
        <v>225</v>
      </c>
      <c r="K24" s="8">
        <v>160</v>
      </c>
      <c r="L24" s="8">
        <v>0</v>
      </c>
      <c r="M24" s="8">
        <v>0</v>
      </c>
      <c r="N24" s="8">
        <v>0</v>
      </c>
      <c r="O24" s="8">
        <v>475</v>
      </c>
    </row>
    <row r="25" spans="1:15" ht="15" customHeight="1" x14ac:dyDescent="0.2">
      <c r="A25" s="6">
        <v>18</v>
      </c>
      <c r="B25" s="6" t="s">
        <v>109</v>
      </c>
      <c r="C25" s="8">
        <f t="shared" si="0"/>
        <v>840</v>
      </c>
      <c r="D25" s="8">
        <v>300</v>
      </c>
      <c r="E25" s="8">
        <v>425</v>
      </c>
      <c r="F25" s="8">
        <v>115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</row>
    <row r="26" spans="1:15" ht="15" customHeight="1" x14ac:dyDescent="0.2">
      <c r="A26" s="6">
        <v>19</v>
      </c>
      <c r="B26" s="6" t="s">
        <v>154</v>
      </c>
      <c r="C26" s="8">
        <f t="shared" si="0"/>
        <v>835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160</v>
      </c>
      <c r="M26" s="9">
        <v>200</v>
      </c>
      <c r="N26" s="9">
        <v>475</v>
      </c>
      <c r="O26" s="8">
        <v>0</v>
      </c>
    </row>
    <row r="27" spans="1:15" ht="15" customHeight="1" x14ac:dyDescent="0.2">
      <c r="A27" s="6">
        <v>20</v>
      </c>
      <c r="B27" s="6" t="s">
        <v>13</v>
      </c>
      <c r="C27" s="8">
        <f t="shared" si="0"/>
        <v>625</v>
      </c>
      <c r="D27" s="8">
        <v>0</v>
      </c>
      <c r="E27" s="8">
        <v>325</v>
      </c>
      <c r="F27" s="8">
        <v>300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</row>
    <row r="28" spans="1:15" ht="15" customHeight="1" x14ac:dyDescent="0.2">
      <c r="A28" s="6">
        <v>21</v>
      </c>
      <c r="B28" s="6" t="s">
        <v>10</v>
      </c>
      <c r="C28" s="8">
        <f t="shared" si="0"/>
        <v>575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9">
        <v>350</v>
      </c>
      <c r="O28" s="8">
        <v>225</v>
      </c>
    </row>
    <row r="29" spans="1:15" ht="15" customHeight="1" x14ac:dyDescent="0.2">
      <c r="A29" s="6">
        <v>21</v>
      </c>
      <c r="B29" s="6" t="s">
        <v>146</v>
      </c>
      <c r="C29" s="8">
        <f t="shared" si="0"/>
        <v>575</v>
      </c>
      <c r="D29" s="8">
        <v>575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</row>
    <row r="30" spans="1:15" ht="15" customHeight="1" x14ac:dyDescent="0.2">
      <c r="A30" s="6">
        <v>22</v>
      </c>
      <c r="B30" s="6" t="s">
        <v>18</v>
      </c>
      <c r="C30" s="8">
        <f t="shared" si="0"/>
        <v>570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425</v>
      </c>
      <c r="K30" s="8">
        <v>0</v>
      </c>
      <c r="L30" s="8">
        <v>145</v>
      </c>
      <c r="M30" s="8">
        <v>0</v>
      </c>
      <c r="N30" s="8">
        <v>0</v>
      </c>
      <c r="O30" s="8">
        <v>0</v>
      </c>
    </row>
    <row r="31" spans="1:15" ht="15" customHeight="1" x14ac:dyDescent="0.2">
      <c r="A31" s="6">
        <v>23</v>
      </c>
      <c r="B31" s="6" t="s">
        <v>130</v>
      </c>
      <c r="C31" s="8">
        <f t="shared" si="0"/>
        <v>550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325</v>
      </c>
      <c r="K31" s="8">
        <v>225</v>
      </c>
      <c r="L31" s="8">
        <v>0</v>
      </c>
      <c r="M31" s="8">
        <v>0</v>
      </c>
      <c r="N31" s="8">
        <v>0</v>
      </c>
      <c r="O31" s="8">
        <v>0</v>
      </c>
    </row>
    <row r="32" spans="1:15" ht="15" customHeight="1" x14ac:dyDescent="0.2">
      <c r="A32" s="6">
        <v>24</v>
      </c>
      <c r="B32" s="6" t="s">
        <v>111</v>
      </c>
      <c r="C32" s="8">
        <f t="shared" si="0"/>
        <v>485</v>
      </c>
      <c r="D32" s="8">
        <v>325</v>
      </c>
      <c r="E32" s="8">
        <v>0</v>
      </c>
      <c r="F32" s="8">
        <v>0</v>
      </c>
      <c r="G32" s="8">
        <v>0</v>
      </c>
      <c r="H32" s="8">
        <v>160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</row>
    <row r="33" spans="1:15" ht="15" customHeight="1" x14ac:dyDescent="0.2">
      <c r="A33" s="6">
        <v>25</v>
      </c>
      <c r="B33" s="6" t="s">
        <v>149</v>
      </c>
      <c r="C33" s="8">
        <f t="shared" si="0"/>
        <v>475</v>
      </c>
      <c r="D33" s="8">
        <v>0</v>
      </c>
      <c r="E33" s="8">
        <v>0</v>
      </c>
      <c r="F33" s="8">
        <v>475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</row>
    <row r="34" spans="1:15" ht="15" customHeight="1" x14ac:dyDescent="0.2">
      <c r="A34" s="6">
        <v>25</v>
      </c>
      <c r="B34" s="6" t="s">
        <v>147</v>
      </c>
      <c r="C34" s="8">
        <f t="shared" si="0"/>
        <v>475</v>
      </c>
      <c r="D34" s="8">
        <v>475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</row>
    <row r="35" spans="1:15" ht="15" customHeight="1" x14ac:dyDescent="0.2">
      <c r="A35" s="6">
        <v>26</v>
      </c>
      <c r="B35" s="6" t="s">
        <v>148</v>
      </c>
      <c r="C35" s="8">
        <f t="shared" si="0"/>
        <v>425</v>
      </c>
      <c r="D35" s="8">
        <v>425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</row>
    <row r="36" spans="1:15" ht="15" customHeight="1" x14ac:dyDescent="0.2">
      <c r="A36" s="6">
        <v>26</v>
      </c>
      <c r="B36" s="6" t="s">
        <v>54</v>
      </c>
      <c r="C36" s="8">
        <f t="shared" si="0"/>
        <v>425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9">
        <v>425</v>
      </c>
      <c r="N36" s="8">
        <v>0</v>
      </c>
      <c r="O36" s="8">
        <v>0</v>
      </c>
    </row>
    <row r="37" spans="1:15" ht="15" customHeight="1" x14ac:dyDescent="0.2">
      <c r="A37" s="6">
        <v>27</v>
      </c>
      <c r="B37" s="6" t="s">
        <v>150</v>
      </c>
      <c r="C37" s="8">
        <f t="shared" si="0"/>
        <v>420</v>
      </c>
      <c r="D37" s="8">
        <v>0</v>
      </c>
      <c r="E37" s="8">
        <v>0</v>
      </c>
      <c r="F37" s="8">
        <v>130</v>
      </c>
      <c r="G37" s="8">
        <v>0</v>
      </c>
      <c r="H37" s="8">
        <v>0</v>
      </c>
      <c r="I37" s="8">
        <v>0</v>
      </c>
      <c r="J37" s="8">
        <v>0</v>
      </c>
      <c r="K37" s="8">
        <v>145</v>
      </c>
      <c r="L37" s="8">
        <v>0</v>
      </c>
      <c r="M37" s="8">
        <v>0</v>
      </c>
      <c r="N37" s="8">
        <v>145</v>
      </c>
      <c r="O37" s="8">
        <v>0</v>
      </c>
    </row>
    <row r="38" spans="1:15" ht="15" customHeight="1" x14ac:dyDescent="0.2">
      <c r="A38" s="6">
        <v>28</v>
      </c>
      <c r="B38" s="6" t="s">
        <v>153</v>
      </c>
      <c r="C38" s="8">
        <f t="shared" si="0"/>
        <v>375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375</v>
      </c>
      <c r="M38" s="8">
        <v>0</v>
      </c>
      <c r="N38" s="8">
        <v>0</v>
      </c>
      <c r="O38" s="8">
        <v>0</v>
      </c>
    </row>
    <row r="39" spans="1:15" ht="15" customHeight="1" x14ac:dyDescent="0.2">
      <c r="A39" s="6">
        <v>29</v>
      </c>
      <c r="B39" s="6" t="s">
        <v>11</v>
      </c>
      <c r="C39" s="8">
        <f t="shared" si="0"/>
        <v>300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300</v>
      </c>
      <c r="L39" s="8">
        <v>0</v>
      </c>
      <c r="M39" s="8">
        <v>0</v>
      </c>
      <c r="N39" s="8">
        <v>0</v>
      </c>
      <c r="O39" s="8">
        <v>0</v>
      </c>
    </row>
    <row r="40" spans="1:15" ht="15" customHeight="1" x14ac:dyDescent="0.2">
      <c r="A40" s="6">
        <v>30</v>
      </c>
      <c r="B40" s="6" t="s">
        <v>80</v>
      </c>
      <c r="C40" s="8">
        <f t="shared" si="0"/>
        <v>160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160</v>
      </c>
      <c r="O40" s="8">
        <v>0</v>
      </c>
    </row>
    <row r="41" spans="1:15" ht="15" customHeight="1" x14ac:dyDescent="0.2">
      <c r="A41" s="6">
        <v>31</v>
      </c>
      <c r="B41" s="6" t="s">
        <v>151</v>
      </c>
      <c r="C41" s="8">
        <f t="shared" si="0"/>
        <v>145</v>
      </c>
      <c r="D41" s="8">
        <v>0</v>
      </c>
      <c r="E41" s="9">
        <v>0</v>
      </c>
      <c r="F41" s="8">
        <v>0</v>
      </c>
      <c r="G41" s="8">
        <v>145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</row>
    <row r="42" spans="1:15" ht="15" customHeight="1" x14ac:dyDescent="0.2">
      <c r="A42" s="6">
        <v>32</v>
      </c>
      <c r="B42" s="6" t="s">
        <v>155</v>
      </c>
      <c r="C42" s="8">
        <f t="shared" si="0"/>
        <v>130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130</v>
      </c>
      <c r="M42" s="8">
        <v>0</v>
      </c>
      <c r="N42" s="8">
        <v>0</v>
      </c>
      <c r="O42" s="8">
        <v>0</v>
      </c>
    </row>
    <row r="44" spans="1:15" ht="18.75" customHeight="1" x14ac:dyDescent="0.25">
      <c r="A44" s="48" t="s">
        <v>3</v>
      </c>
      <c r="B44" s="49"/>
      <c r="C44" s="49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</row>
    <row r="45" spans="1:15" ht="18.75" customHeight="1" x14ac:dyDescent="0.25">
      <c r="A45" s="50" t="s">
        <v>4</v>
      </c>
      <c r="B45" s="51"/>
      <c r="C45" s="51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</row>
    <row r="46" spans="1:15" ht="18.75" customHeight="1" x14ac:dyDescent="0.25">
      <c r="A46" s="52" t="s">
        <v>5</v>
      </c>
      <c r="B46" s="53"/>
      <c r="C46" s="53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</row>
  </sheetData>
  <mergeCells count="9">
    <mergeCell ref="A44:C44"/>
    <mergeCell ref="A45:C45"/>
    <mergeCell ref="A46:C46"/>
    <mergeCell ref="A1:O1"/>
    <mergeCell ref="A2:O2"/>
    <mergeCell ref="A3:O3"/>
    <mergeCell ref="A4:O4"/>
    <mergeCell ref="A5:O5"/>
    <mergeCell ref="A6:O6"/>
  </mergeCells>
  <pageMargins left="0.7" right="0.7" top="0.75" bottom="0.75" header="0.3" footer="0.3"/>
  <pageSetup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4"/>
  <sheetViews>
    <sheetView workbookViewId="0">
      <selection activeCell="C8" sqref="C8"/>
    </sheetView>
  </sheetViews>
  <sheetFormatPr defaultRowHeight="12.75" x14ac:dyDescent="0.2"/>
  <cols>
    <col min="1" max="1" width="8.42578125" customWidth="1"/>
    <col min="2" max="2" width="26.28515625" customWidth="1"/>
    <col min="3" max="3" width="9.5703125" customWidth="1"/>
    <col min="4" max="15" width="6.7109375" customWidth="1"/>
    <col min="16" max="16" width="8.7109375" customWidth="1"/>
  </cols>
  <sheetData>
    <row r="1" spans="1:15" ht="126" customHeight="1" x14ac:dyDescent="0.2">
      <c r="A1" s="36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</row>
    <row r="2" spans="1:15" ht="45" customHeight="1" x14ac:dyDescent="0.5">
      <c r="A2" s="54" t="s">
        <v>17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</row>
    <row r="3" spans="1:15" ht="33" customHeight="1" x14ac:dyDescent="0.4">
      <c r="A3" s="55" t="s">
        <v>135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</row>
    <row r="4" spans="1:15" ht="9.75" customHeight="1" x14ac:dyDescent="0.4">
      <c r="A4" s="55"/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</row>
    <row r="5" spans="1:15" ht="30" customHeight="1" x14ac:dyDescent="0.4">
      <c r="A5" s="57" t="s">
        <v>9</v>
      </c>
      <c r="B5" s="58"/>
      <c r="C5" s="58"/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</row>
    <row r="6" spans="1:15" ht="16.5" customHeight="1" x14ac:dyDescent="0.2">
      <c r="A6" s="38"/>
      <c r="B6" s="38"/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</row>
    <row r="7" spans="1:15" ht="15" customHeight="1" x14ac:dyDescent="0.25">
      <c r="A7" s="1" t="s">
        <v>1</v>
      </c>
      <c r="B7" s="1" t="s">
        <v>0</v>
      </c>
      <c r="C7" s="1" t="s">
        <v>2</v>
      </c>
      <c r="D7" s="2">
        <v>44864</v>
      </c>
      <c r="E7" s="2">
        <v>44871</v>
      </c>
      <c r="F7" s="2">
        <v>44885</v>
      </c>
      <c r="G7" s="2">
        <v>44892</v>
      </c>
      <c r="H7" s="2">
        <v>44906</v>
      </c>
      <c r="I7" s="2">
        <v>44913</v>
      </c>
      <c r="J7" s="2">
        <v>44569</v>
      </c>
      <c r="K7" s="2">
        <v>44576</v>
      </c>
      <c r="L7" s="2">
        <v>44583</v>
      </c>
      <c r="M7" s="2">
        <v>44590</v>
      </c>
      <c r="N7" s="2">
        <v>44597</v>
      </c>
      <c r="O7" s="2">
        <v>44604</v>
      </c>
    </row>
    <row r="8" spans="1:15" ht="15" customHeight="1" x14ac:dyDescent="0.2">
      <c r="A8" s="6">
        <v>1</v>
      </c>
      <c r="B8" s="6" t="s">
        <v>16</v>
      </c>
      <c r="C8" s="7">
        <f t="shared" ref="C8:C46" si="0">D8+E8+F8+G8+H8+I8+J8+K8+L8+M8+N8+O8</f>
        <v>3910</v>
      </c>
      <c r="D8" s="8">
        <v>225</v>
      </c>
      <c r="E8" s="9">
        <v>350</v>
      </c>
      <c r="F8" s="8">
        <v>350</v>
      </c>
      <c r="G8" s="8">
        <v>325</v>
      </c>
      <c r="H8" s="8">
        <v>300</v>
      </c>
      <c r="I8" s="8">
        <v>475</v>
      </c>
      <c r="J8" s="8">
        <v>475</v>
      </c>
      <c r="K8" s="8">
        <v>375</v>
      </c>
      <c r="L8" s="8">
        <v>160</v>
      </c>
      <c r="M8" s="8">
        <v>225</v>
      </c>
      <c r="N8" s="8">
        <v>300</v>
      </c>
      <c r="O8" s="8">
        <v>350</v>
      </c>
    </row>
    <row r="9" spans="1:15" ht="15" customHeight="1" x14ac:dyDescent="0.2">
      <c r="A9" s="6">
        <v>2</v>
      </c>
      <c r="B9" s="6" t="s">
        <v>65</v>
      </c>
      <c r="C9" s="7">
        <f t="shared" si="0"/>
        <v>3825</v>
      </c>
      <c r="D9" s="8">
        <v>275</v>
      </c>
      <c r="E9" s="8">
        <v>300</v>
      </c>
      <c r="F9" s="8">
        <v>375</v>
      </c>
      <c r="G9" s="8">
        <v>350</v>
      </c>
      <c r="H9" s="8">
        <v>0</v>
      </c>
      <c r="I9" s="8">
        <v>0</v>
      </c>
      <c r="J9" s="8">
        <v>300</v>
      </c>
      <c r="K9" s="8">
        <v>475</v>
      </c>
      <c r="L9" s="8">
        <v>375</v>
      </c>
      <c r="M9" s="8">
        <v>375</v>
      </c>
      <c r="N9" s="8">
        <v>425</v>
      </c>
      <c r="O9" s="8">
        <v>575</v>
      </c>
    </row>
    <row r="10" spans="1:15" ht="15" customHeight="1" x14ac:dyDescent="0.2">
      <c r="A10" s="6">
        <v>3</v>
      </c>
      <c r="B10" s="6" t="s">
        <v>89</v>
      </c>
      <c r="C10" s="7">
        <f t="shared" si="0"/>
        <v>3555</v>
      </c>
      <c r="D10" s="8">
        <v>325</v>
      </c>
      <c r="E10" s="8">
        <v>325</v>
      </c>
      <c r="F10" s="8">
        <v>160</v>
      </c>
      <c r="G10" s="9">
        <v>300</v>
      </c>
      <c r="H10" s="8">
        <v>250</v>
      </c>
      <c r="I10" s="8">
        <v>425</v>
      </c>
      <c r="J10" s="8">
        <v>350</v>
      </c>
      <c r="K10" s="8">
        <v>225</v>
      </c>
      <c r="L10" s="8">
        <v>275</v>
      </c>
      <c r="M10" s="8">
        <v>300</v>
      </c>
      <c r="N10" s="8">
        <v>145</v>
      </c>
      <c r="O10" s="8">
        <v>475</v>
      </c>
    </row>
    <row r="11" spans="1:15" ht="15" customHeight="1" x14ac:dyDescent="0.2">
      <c r="A11" s="6">
        <v>4</v>
      </c>
      <c r="B11" s="6" t="s">
        <v>32</v>
      </c>
      <c r="C11" s="7">
        <f t="shared" si="0"/>
        <v>2910</v>
      </c>
      <c r="D11" s="8">
        <v>425</v>
      </c>
      <c r="E11" s="8">
        <v>130</v>
      </c>
      <c r="F11" s="8">
        <v>0</v>
      </c>
      <c r="G11" s="8">
        <v>250</v>
      </c>
      <c r="H11" s="8">
        <v>475</v>
      </c>
      <c r="I11" s="8">
        <v>300</v>
      </c>
      <c r="J11" s="8">
        <v>225</v>
      </c>
      <c r="K11" s="8">
        <v>0</v>
      </c>
      <c r="L11" s="8">
        <v>130</v>
      </c>
      <c r="M11" s="8">
        <v>275</v>
      </c>
      <c r="N11" s="8">
        <v>275</v>
      </c>
      <c r="O11" s="8">
        <v>425</v>
      </c>
    </row>
    <row r="12" spans="1:15" ht="15" customHeight="1" x14ac:dyDescent="0.2">
      <c r="A12" s="6">
        <v>5</v>
      </c>
      <c r="B12" s="6" t="s">
        <v>60</v>
      </c>
      <c r="C12" s="7">
        <f t="shared" si="0"/>
        <v>2775</v>
      </c>
      <c r="D12" s="8">
        <v>0</v>
      </c>
      <c r="E12" s="8">
        <v>0</v>
      </c>
      <c r="F12" s="8">
        <v>225</v>
      </c>
      <c r="G12" s="8">
        <v>575</v>
      </c>
      <c r="H12" s="8">
        <v>425</v>
      </c>
      <c r="I12" s="8">
        <v>275</v>
      </c>
      <c r="J12" s="8">
        <v>250</v>
      </c>
      <c r="K12" s="8">
        <v>0</v>
      </c>
      <c r="L12" s="8">
        <v>325</v>
      </c>
      <c r="M12" s="8">
        <v>325</v>
      </c>
      <c r="N12" s="8">
        <v>375</v>
      </c>
      <c r="O12" s="8">
        <v>0</v>
      </c>
    </row>
    <row r="13" spans="1:15" ht="15" customHeight="1" x14ac:dyDescent="0.2">
      <c r="A13" s="6">
        <v>6</v>
      </c>
      <c r="B13" s="6" t="s">
        <v>110</v>
      </c>
      <c r="C13" s="7">
        <f t="shared" si="0"/>
        <v>2690</v>
      </c>
      <c r="D13" s="8">
        <v>350</v>
      </c>
      <c r="E13" s="8">
        <v>225</v>
      </c>
      <c r="F13" s="8">
        <v>475</v>
      </c>
      <c r="G13" s="8">
        <v>175</v>
      </c>
      <c r="H13" s="8">
        <v>0</v>
      </c>
      <c r="I13" s="8">
        <v>250</v>
      </c>
      <c r="J13" s="8">
        <v>375</v>
      </c>
      <c r="K13" s="8">
        <v>0</v>
      </c>
      <c r="L13" s="9">
        <v>115</v>
      </c>
      <c r="M13" s="8">
        <v>175</v>
      </c>
      <c r="N13" s="8">
        <v>250</v>
      </c>
      <c r="O13" s="8">
        <v>300</v>
      </c>
    </row>
    <row r="14" spans="1:15" ht="15" customHeight="1" x14ac:dyDescent="0.2">
      <c r="A14" s="6">
        <v>7</v>
      </c>
      <c r="B14" s="6" t="s">
        <v>61</v>
      </c>
      <c r="C14" s="7">
        <f t="shared" si="0"/>
        <v>2675</v>
      </c>
      <c r="D14" s="8">
        <v>0</v>
      </c>
      <c r="E14" s="8">
        <v>0</v>
      </c>
      <c r="F14" s="8">
        <v>0</v>
      </c>
      <c r="G14" s="8">
        <v>475</v>
      </c>
      <c r="H14" s="8">
        <v>575</v>
      </c>
      <c r="I14" s="8">
        <v>225</v>
      </c>
      <c r="J14" s="8">
        <v>575</v>
      </c>
      <c r="K14" s="8">
        <v>0</v>
      </c>
      <c r="L14" s="8">
        <v>225</v>
      </c>
      <c r="M14" s="8">
        <v>250</v>
      </c>
      <c r="N14" s="8">
        <v>350</v>
      </c>
      <c r="O14" s="8">
        <v>0</v>
      </c>
    </row>
    <row r="15" spans="1:15" ht="15" customHeight="1" x14ac:dyDescent="0.2">
      <c r="A15" s="6">
        <v>8</v>
      </c>
      <c r="B15" s="6" t="s">
        <v>11</v>
      </c>
      <c r="C15" s="7">
        <f t="shared" si="0"/>
        <v>2635</v>
      </c>
      <c r="D15" s="8">
        <v>0</v>
      </c>
      <c r="E15" s="8">
        <v>0</v>
      </c>
      <c r="F15" s="8">
        <v>300</v>
      </c>
      <c r="G15" s="9">
        <v>160</v>
      </c>
      <c r="H15" s="8">
        <v>375</v>
      </c>
      <c r="I15" s="8">
        <v>375</v>
      </c>
      <c r="J15" s="8">
        <v>200</v>
      </c>
      <c r="K15" s="8">
        <v>425</v>
      </c>
      <c r="L15" s="8">
        <v>0</v>
      </c>
      <c r="M15" s="8">
        <v>475</v>
      </c>
      <c r="N15" s="8">
        <v>325</v>
      </c>
      <c r="O15" s="8">
        <v>0</v>
      </c>
    </row>
    <row r="16" spans="1:15" ht="15" customHeight="1" x14ac:dyDescent="0.2">
      <c r="A16" s="6">
        <v>9</v>
      </c>
      <c r="B16" s="6" t="s">
        <v>130</v>
      </c>
      <c r="C16" s="7">
        <f t="shared" si="0"/>
        <v>2350</v>
      </c>
      <c r="D16" s="8">
        <v>475</v>
      </c>
      <c r="E16" s="8">
        <v>0</v>
      </c>
      <c r="F16" s="8">
        <v>425</v>
      </c>
      <c r="G16" s="8">
        <v>0</v>
      </c>
      <c r="H16" s="8">
        <v>325</v>
      </c>
      <c r="I16" s="8">
        <v>575</v>
      </c>
      <c r="J16" s="8">
        <v>0</v>
      </c>
      <c r="K16" s="8">
        <v>350</v>
      </c>
      <c r="L16" s="8">
        <v>200</v>
      </c>
      <c r="M16" s="8">
        <v>0</v>
      </c>
      <c r="N16" s="8">
        <v>0</v>
      </c>
      <c r="O16" s="8">
        <v>0</v>
      </c>
    </row>
    <row r="17" spans="1:15" ht="15" customHeight="1" x14ac:dyDescent="0.2">
      <c r="A17" s="6">
        <v>10</v>
      </c>
      <c r="B17" s="6" t="s">
        <v>128</v>
      </c>
      <c r="C17" s="7">
        <f t="shared" si="0"/>
        <v>2025</v>
      </c>
      <c r="D17" s="8">
        <v>250</v>
      </c>
      <c r="E17" s="8">
        <v>275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275</v>
      </c>
      <c r="L17" s="8">
        <v>575</v>
      </c>
      <c r="M17" s="8">
        <v>425</v>
      </c>
      <c r="N17" s="8">
        <v>225</v>
      </c>
      <c r="O17" s="8">
        <v>0</v>
      </c>
    </row>
    <row r="18" spans="1:15" ht="15" customHeight="1" x14ac:dyDescent="0.2">
      <c r="A18" s="6">
        <v>11</v>
      </c>
      <c r="B18" s="6" t="s">
        <v>19</v>
      </c>
      <c r="C18" s="8">
        <f t="shared" si="0"/>
        <v>1985</v>
      </c>
      <c r="D18" s="8">
        <v>0</v>
      </c>
      <c r="E18" s="9">
        <v>375</v>
      </c>
      <c r="F18" s="9">
        <v>130</v>
      </c>
      <c r="G18" s="8">
        <v>0</v>
      </c>
      <c r="H18" s="8">
        <v>275</v>
      </c>
      <c r="I18" s="9">
        <v>175</v>
      </c>
      <c r="J18" s="8">
        <v>275</v>
      </c>
      <c r="K18" s="8">
        <v>0</v>
      </c>
      <c r="L18" s="8">
        <v>300</v>
      </c>
      <c r="M18" s="8">
        <v>0</v>
      </c>
      <c r="N18" s="9">
        <v>130</v>
      </c>
      <c r="O18" s="8">
        <v>325</v>
      </c>
    </row>
    <row r="19" spans="1:15" ht="15" customHeight="1" x14ac:dyDescent="0.2">
      <c r="A19" s="6">
        <v>12</v>
      </c>
      <c r="B19" s="6" t="s">
        <v>127</v>
      </c>
      <c r="C19" s="8">
        <f t="shared" si="0"/>
        <v>1700</v>
      </c>
      <c r="D19" s="8">
        <v>115</v>
      </c>
      <c r="E19" s="8">
        <v>475</v>
      </c>
      <c r="F19" s="8">
        <v>0</v>
      </c>
      <c r="G19" s="8">
        <v>200</v>
      </c>
      <c r="H19" s="8">
        <v>0</v>
      </c>
      <c r="I19" s="8">
        <v>0</v>
      </c>
      <c r="J19" s="8">
        <v>175</v>
      </c>
      <c r="K19" s="8">
        <v>0</v>
      </c>
      <c r="L19" s="8">
        <v>0</v>
      </c>
      <c r="M19" s="8">
        <v>575</v>
      </c>
      <c r="N19" s="8">
        <v>160</v>
      </c>
      <c r="O19" s="8">
        <v>0</v>
      </c>
    </row>
    <row r="20" spans="1:15" ht="15" customHeight="1" x14ac:dyDescent="0.2">
      <c r="A20" s="6">
        <v>13</v>
      </c>
      <c r="B20" s="6" t="s">
        <v>30</v>
      </c>
      <c r="C20" s="8">
        <f t="shared" si="0"/>
        <v>1525</v>
      </c>
      <c r="D20" s="8">
        <v>0</v>
      </c>
      <c r="E20" s="9">
        <v>575</v>
      </c>
      <c r="F20" s="8">
        <v>115</v>
      </c>
      <c r="G20" s="8">
        <v>0</v>
      </c>
      <c r="H20" s="8">
        <v>0</v>
      </c>
      <c r="I20" s="8">
        <v>0</v>
      </c>
      <c r="J20" s="8">
        <v>0</v>
      </c>
      <c r="K20" s="8">
        <v>575</v>
      </c>
      <c r="L20" s="8">
        <v>0</v>
      </c>
      <c r="M20" s="8">
        <v>145</v>
      </c>
      <c r="N20" s="8">
        <v>115</v>
      </c>
      <c r="O20" s="8">
        <v>0</v>
      </c>
    </row>
    <row r="21" spans="1:15" ht="15" customHeight="1" x14ac:dyDescent="0.2">
      <c r="A21" s="6">
        <v>14</v>
      </c>
      <c r="B21" s="6" t="s">
        <v>109</v>
      </c>
      <c r="C21" s="8">
        <f t="shared" si="0"/>
        <v>1475</v>
      </c>
      <c r="D21" s="8">
        <v>0</v>
      </c>
      <c r="E21" s="8">
        <v>0</v>
      </c>
      <c r="F21" s="8">
        <v>575</v>
      </c>
      <c r="G21" s="8">
        <v>0</v>
      </c>
      <c r="H21" s="8">
        <v>225</v>
      </c>
      <c r="I21" s="8">
        <v>350</v>
      </c>
      <c r="J21" s="8">
        <v>325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</row>
    <row r="22" spans="1:15" ht="15" customHeight="1" x14ac:dyDescent="0.2">
      <c r="A22" s="6">
        <v>15</v>
      </c>
      <c r="B22" s="6" t="s">
        <v>13</v>
      </c>
      <c r="C22" s="8">
        <f t="shared" si="0"/>
        <v>1200</v>
      </c>
      <c r="D22" s="8">
        <v>0</v>
      </c>
      <c r="E22" s="8">
        <v>0</v>
      </c>
      <c r="F22" s="8">
        <v>0</v>
      </c>
      <c r="G22" s="9">
        <v>130</v>
      </c>
      <c r="H22" s="8">
        <v>0</v>
      </c>
      <c r="I22" s="8">
        <v>325</v>
      </c>
      <c r="J22" s="8">
        <v>145</v>
      </c>
      <c r="K22" s="8">
        <v>0</v>
      </c>
      <c r="L22" s="8">
        <v>425</v>
      </c>
      <c r="M22" s="8">
        <v>0</v>
      </c>
      <c r="N22" s="8">
        <v>175</v>
      </c>
      <c r="O22" s="8">
        <v>0</v>
      </c>
    </row>
    <row r="23" spans="1:15" ht="15" customHeight="1" x14ac:dyDescent="0.2">
      <c r="A23" s="6">
        <v>16</v>
      </c>
      <c r="B23" s="6" t="s">
        <v>87</v>
      </c>
      <c r="C23" s="8">
        <f t="shared" si="0"/>
        <v>1120</v>
      </c>
      <c r="D23" s="8">
        <v>145</v>
      </c>
      <c r="E23" s="8">
        <v>0</v>
      </c>
      <c r="F23" s="8">
        <v>145</v>
      </c>
      <c r="G23" s="8">
        <v>145</v>
      </c>
      <c r="H23" s="8">
        <v>350</v>
      </c>
      <c r="I23" s="8">
        <v>0</v>
      </c>
      <c r="J23" s="8">
        <v>0</v>
      </c>
      <c r="K23" s="8">
        <v>0</v>
      </c>
      <c r="L23" s="8">
        <v>175</v>
      </c>
      <c r="M23" s="8">
        <v>160</v>
      </c>
      <c r="N23" s="8">
        <v>0</v>
      </c>
      <c r="O23" s="8">
        <v>0</v>
      </c>
    </row>
    <row r="24" spans="1:15" ht="15" customHeight="1" x14ac:dyDescent="0.2">
      <c r="A24" s="6">
        <v>17</v>
      </c>
      <c r="B24" s="6" t="s">
        <v>24</v>
      </c>
      <c r="C24" s="8">
        <f t="shared" si="0"/>
        <v>1100</v>
      </c>
      <c r="D24" s="8">
        <v>575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325</v>
      </c>
      <c r="L24" s="8">
        <v>0</v>
      </c>
      <c r="M24" s="8">
        <v>0</v>
      </c>
      <c r="N24" s="9">
        <v>200</v>
      </c>
      <c r="O24" s="8">
        <v>0</v>
      </c>
    </row>
    <row r="25" spans="1:15" ht="15" customHeight="1" x14ac:dyDescent="0.2">
      <c r="A25" s="6">
        <v>18</v>
      </c>
      <c r="B25" s="6" t="s">
        <v>133</v>
      </c>
      <c r="C25" s="8">
        <f t="shared" si="0"/>
        <v>1025</v>
      </c>
      <c r="D25" s="8">
        <v>0</v>
      </c>
      <c r="E25" s="8">
        <v>0</v>
      </c>
      <c r="F25" s="8">
        <v>175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475</v>
      </c>
      <c r="O25" s="8">
        <v>375</v>
      </c>
    </row>
    <row r="26" spans="1:15" ht="15" customHeight="1" x14ac:dyDescent="0.2">
      <c r="A26" s="6">
        <v>19</v>
      </c>
      <c r="B26" s="6" t="s">
        <v>22</v>
      </c>
      <c r="C26" s="8">
        <f t="shared" si="0"/>
        <v>1000</v>
      </c>
      <c r="D26" s="8">
        <v>0</v>
      </c>
      <c r="E26" s="9">
        <v>425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575</v>
      </c>
      <c r="O26" s="8">
        <v>0</v>
      </c>
    </row>
    <row r="27" spans="1:15" ht="15" customHeight="1" x14ac:dyDescent="0.2">
      <c r="A27" s="6">
        <v>20</v>
      </c>
      <c r="B27" s="6" t="s">
        <v>7</v>
      </c>
      <c r="C27" s="8">
        <f t="shared" si="0"/>
        <v>775</v>
      </c>
      <c r="D27" s="8">
        <v>200</v>
      </c>
      <c r="E27" s="9">
        <v>250</v>
      </c>
      <c r="F27" s="9">
        <v>325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</row>
    <row r="28" spans="1:15" ht="15" customHeight="1" x14ac:dyDescent="0.2">
      <c r="A28" s="6">
        <v>21</v>
      </c>
      <c r="B28" s="6" t="s">
        <v>117</v>
      </c>
      <c r="C28" s="8">
        <f t="shared" si="0"/>
        <v>725</v>
      </c>
      <c r="D28" s="8">
        <v>375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350</v>
      </c>
      <c r="M28" s="8">
        <v>0</v>
      </c>
      <c r="N28" s="8">
        <v>0</v>
      </c>
      <c r="O28" s="8">
        <v>0</v>
      </c>
    </row>
    <row r="29" spans="1:15" ht="15" customHeight="1" x14ac:dyDescent="0.2">
      <c r="A29" s="6">
        <v>22</v>
      </c>
      <c r="B29" s="6" t="s">
        <v>131</v>
      </c>
      <c r="C29" s="8">
        <f t="shared" si="0"/>
        <v>640</v>
      </c>
      <c r="D29" s="8">
        <v>0</v>
      </c>
      <c r="E29" s="8">
        <v>0</v>
      </c>
      <c r="F29" s="8">
        <v>275</v>
      </c>
      <c r="G29" s="8">
        <v>0</v>
      </c>
      <c r="H29" s="8">
        <v>0</v>
      </c>
      <c r="I29" s="8">
        <v>0</v>
      </c>
      <c r="J29" s="8">
        <v>115</v>
      </c>
      <c r="K29" s="8">
        <v>0</v>
      </c>
      <c r="L29" s="8">
        <v>250</v>
      </c>
      <c r="M29" s="8">
        <v>0</v>
      </c>
      <c r="N29" s="8">
        <v>0</v>
      </c>
      <c r="O29" s="8">
        <v>0</v>
      </c>
    </row>
    <row r="30" spans="1:15" ht="15" customHeight="1" x14ac:dyDescent="0.2">
      <c r="A30" s="6">
        <v>23</v>
      </c>
      <c r="B30" s="6" t="s">
        <v>14</v>
      </c>
      <c r="C30" s="8">
        <f t="shared" si="0"/>
        <v>570</v>
      </c>
      <c r="D30" s="8">
        <v>175</v>
      </c>
      <c r="E30" s="9">
        <v>145</v>
      </c>
      <c r="F30" s="8">
        <v>250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</row>
    <row r="31" spans="1:15" ht="15" customHeight="1" x14ac:dyDescent="0.2">
      <c r="A31" s="6">
        <v>24</v>
      </c>
      <c r="B31" s="6" t="s">
        <v>126</v>
      </c>
      <c r="C31" s="8">
        <f t="shared" si="0"/>
        <v>490</v>
      </c>
      <c r="D31" s="8">
        <v>160</v>
      </c>
      <c r="E31" s="8">
        <v>200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130</v>
      </c>
      <c r="N31" s="8">
        <v>0</v>
      </c>
      <c r="O31" s="8">
        <v>0</v>
      </c>
    </row>
    <row r="32" spans="1:15" ht="15" customHeight="1" x14ac:dyDescent="0.2">
      <c r="A32" s="6">
        <v>25</v>
      </c>
      <c r="B32" s="6" t="s">
        <v>142</v>
      </c>
      <c r="C32" s="8">
        <f t="shared" si="0"/>
        <v>475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475</v>
      </c>
      <c r="M32" s="8">
        <v>0</v>
      </c>
      <c r="N32" s="8">
        <v>0</v>
      </c>
      <c r="O32" s="8">
        <v>0</v>
      </c>
    </row>
    <row r="33" spans="1:15" ht="15" customHeight="1" x14ac:dyDescent="0.2">
      <c r="A33" s="6">
        <v>26</v>
      </c>
      <c r="B33" s="6" t="s">
        <v>6</v>
      </c>
      <c r="C33" s="8">
        <f t="shared" si="0"/>
        <v>425</v>
      </c>
      <c r="D33" s="8">
        <v>0</v>
      </c>
      <c r="E33" s="8">
        <v>0</v>
      </c>
      <c r="F33" s="8">
        <v>0</v>
      </c>
      <c r="G33" s="8">
        <v>425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</row>
    <row r="34" spans="1:15" ht="15" customHeight="1" x14ac:dyDescent="0.2">
      <c r="A34" s="6">
        <v>27</v>
      </c>
      <c r="B34" s="6" t="s">
        <v>103</v>
      </c>
      <c r="C34" s="8">
        <f t="shared" si="0"/>
        <v>380</v>
      </c>
      <c r="D34" s="8">
        <v>0</v>
      </c>
      <c r="E34" s="8">
        <v>0</v>
      </c>
      <c r="F34" s="8">
        <v>0</v>
      </c>
      <c r="G34" s="9">
        <v>0</v>
      </c>
      <c r="H34" s="8">
        <v>0</v>
      </c>
      <c r="I34" s="8">
        <v>0</v>
      </c>
      <c r="J34" s="8">
        <v>130</v>
      </c>
      <c r="K34" s="8">
        <v>250</v>
      </c>
      <c r="L34" s="8">
        <v>0</v>
      </c>
      <c r="M34" s="8">
        <v>0</v>
      </c>
      <c r="N34" s="8">
        <v>0</v>
      </c>
      <c r="O34" s="8">
        <v>0</v>
      </c>
    </row>
    <row r="35" spans="1:15" ht="15" customHeight="1" x14ac:dyDescent="0.2">
      <c r="A35" s="6">
        <v>28</v>
      </c>
      <c r="B35" s="6" t="s">
        <v>55</v>
      </c>
      <c r="C35" s="8">
        <f t="shared" si="0"/>
        <v>375</v>
      </c>
      <c r="D35" s="8">
        <v>0</v>
      </c>
      <c r="E35" s="8">
        <v>0</v>
      </c>
      <c r="F35" s="8">
        <v>0</v>
      </c>
      <c r="G35" s="8">
        <v>375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</row>
    <row r="36" spans="1:15" ht="15" customHeight="1" x14ac:dyDescent="0.2">
      <c r="A36" s="6">
        <v>29</v>
      </c>
      <c r="B36" s="6" t="s">
        <v>10</v>
      </c>
      <c r="C36" s="8">
        <f t="shared" si="0"/>
        <v>350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9">
        <v>350</v>
      </c>
      <c r="N36" s="8">
        <v>0</v>
      </c>
      <c r="O36" s="8">
        <v>0</v>
      </c>
    </row>
    <row r="37" spans="1:15" ht="15" customHeight="1" x14ac:dyDescent="0.2">
      <c r="A37" s="6">
        <v>30</v>
      </c>
      <c r="B37" s="6" t="s">
        <v>132</v>
      </c>
      <c r="C37" s="8">
        <f t="shared" si="0"/>
        <v>315</v>
      </c>
      <c r="D37" s="8">
        <v>0</v>
      </c>
      <c r="E37" s="8">
        <v>0</v>
      </c>
      <c r="F37" s="8">
        <v>200</v>
      </c>
      <c r="G37" s="9">
        <v>115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</row>
    <row r="38" spans="1:15" ht="15" customHeight="1" x14ac:dyDescent="0.2">
      <c r="A38" s="6">
        <v>31</v>
      </c>
      <c r="B38" s="6" t="s">
        <v>134</v>
      </c>
      <c r="C38" s="8">
        <f t="shared" si="0"/>
        <v>275</v>
      </c>
      <c r="D38" s="8">
        <v>0</v>
      </c>
      <c r="E38" s="9">
        <v>0</v>
      </c>
      <c r="F38" s="9">
        <v>0</v>
      </c>
      <c r="G38" s="9">
        <v>275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</row>
    <row r="39" spans="1:15" ht="15" customHeight="1" x14ac:dyDescent="0.2">
      <c r="A39" s="6">
        <v>32</v>
      </c>
      <c r="B39" s="6" t="s">
        <v>138</v>
      </c>
      <c r="C39" s="8">
        <f t="shared" si="0"/>
        <v>200</v>
      </c>
      <c r="D39" s="8">
        <v>0</v>
      </c>
      <c r="E39" s="8">
        <v>0</v>
      </c>
      <c r="F39" s="8">
        <v>0</v>
      </c>
      <c r="G39" s="9">
        <v>0</v>
      </c>
      <c r="H39" s="8">
        <v>0</v>
      </c>
      <c r="I39" s="8">
        <v>200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</row>
    <row r="40" spans="1:15" ht="15" customHeight="1" x14ac:dyDescent="0.2">
      <c r="A40" s="6">
        <v>32</v>
      </c>
      <c r="B40" s="6" t="s">
        <v>125</v>
      </c>
      <c r="C40" s="8">
        <f t="shared" si="0"/>
        <v>200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200</v>
      </c>
      <c r="N40" s="8">
        <v>0</v>
      </c>
      <c r="O40" s="8">
        <v>0</v>
      </c>
    </row>
    <row r="41" spans="1:15" ht="15" customHeight="1" x14ac:dyDescent="0.2">
      <c r="A41" s="6">
        <v>32</v>
      </c>
      <c r="B41" s="6" t="s">
        <v>136</v>
      </c>
      <c r="C41" s="8">
        <f t="shared" si="0"/>
        <v>200</v>
      </c>
      <c r="D41" s="8">
        <v>0</v>
      </c>
      <c r="E41" s="8">
        <v>0</v>
      </c>
      <c r="F41" s="8">
        <v>0</v>
      </c>
      <c r="G41" s="8">
        <v>0</v>
      </c>
      <c r="H41" s="8">
        <v>200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</row>
    <row r="42" spans="1:15" ht="15" customHeight="1" x14ac:dyDescent="0.2">
      <c r="A42" s="10">
        <v>33</v>
      </c>
      <c r="B42" s="10" t="s">
        <v>129</v>
      </c>
      <c r="C42" s="11">
        <f t="shared" si="0"/>
        <v>175</v>
      </c>
      <c r="D42" s="11">
        <v>0</v>
      </c>
      <c r="E42" s="11">
        <v>175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</row>
    <row r="43" spans="1:15" ht="15" customHeight="1" x14ac:dyDescent="0.2">
      <c r="A43" s="10">
        <v>33</v>
      </c>
      <c r="B43" s="10" t="s">
        <v>137</v>
      </c>
      <c r="C43" s="11">
        <f t="shared" si="0"/>
        <v>175</v>
      </c>
      <c r="D43" s="11">
        <v>0</v>
      </c>
      <c r="E43" s="11">
        <v>0</v>
      </c>
      <c r="F43" s="11">
        <v>0</v>
      </c>
      <c r="G43" s="11">
        <v>0</v>
      </c>
      <c r="H43" s="11">
        <v>175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</row>
    <row r="44" spans="1:15" ht="15" customHeight="1" x14ac:dyDescent="0.2">
      <c r="A44" s="10">
        <v>34</v>
      </c>
      <c r="B44" s="10" t="s">
        <v>141</v>
      </c>
      <c r="C44" s="11">
        <f t="shared" si="0"/>
        <v>160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160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</row>
    <row r="45" spans="1:15" ht="15" customHeight="1" x14ac:dyDescent="0.2">
      <c r="A45" s="10">
        <v>35</v>
      </c>
      <c r="B45" s="10" t="s">
        <v>143</v>
      </c>
      <c r="C45" s="11">
        <f t="shared" si="0"/>
        <v>145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145</v>
      </c>
      <c r="M45" s="11">
        <v>0</v>
      </c>
      <c r="N45" s="11">
        <v>0</v>
      </c>
      <c r="O45" s="11">
        <v>0</v>
      </c>
    </row>
    <row r="46" spans="1:15" ht="15" customHeight="1" x14ac:dyDescent="0.2">
      <c r="A46" s="10">
        <v>36</v>
      </c>
      <c r="B46" s="10" t="s">
        <v>111</v>
      </c>
      <c r="C46" s="11">
        <f t="shared" si="0"/>
        <v>130</v>
      </c>
      <c r="D46" s="11">
        <v>130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</row>
    <row r="48" spans="1:15" ht="18.75" customHeight="1" x14ac:dyDescent="0.25">
      <c r="A48" s="48" t="s">
        <v>3</v>
      </c>
      <c r="B48" s="49"/>
      <c r="C48" s="49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</row>
    <row r="49" spans="1:15" ht="18.75" customHeight="1" x14ac:dyDescent="0.25">
      <c r="A49" s="50" t="s">
        <v>4</v>
      </c>
      <c r="B49" s="51"/>
      <c r="C49" s="51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</row>
    <row r="50" spans="1:15" ht="18.75" customHeight="1" x14ac:dyDescent="0.25">
      <c r="A50" s="52" t="s">
        <v>5</v>
      </c>
      <c r="B50" s="53"/>
      <c r="C50" s="53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</row>
    <row r="62" spans="1:15" x14ac:dyDescent="0.2">
      <c r="A62" s="63"/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</row>
    <row r="63" spans="1:15" x14ac:dyDescent="0.2">
      <c r="A63" s="63"/>
      <c r="B63" s="63"/>
      <c r="C63" s="63"/>
      <c r="D63" s="63"/>
      <c r="E63" s="63"/>
      <c r="F63" s="63"/>
      <c r="G63" s="63"/>
      <c r="H63" s="63"/>
      <c r="I63" s="63"/>
      <c r="J63" s="63"/>
      <c r="K63" s="63"/>
      <c r="L63" s="63"/>
      <c r="M63" s="63"/>
      <c r="N63" s="63"/>
      <c r="O63" s="63"/>
    </row>
    <row r="64" spans="1:15" ht="36" customHeight="1" x14ac:dyDescent="0.5">
      <c r="A64" s="64" t="s">
        <v>17</v>
      </c>
      <c r="B64" s="65"/>
      <c r="C64" s="65"/>
      <c r="D64" s="65"/>
      <c r="E64" s="65"/>
      <c r="F64" s="65"/>
      <c r="G64" s="65"/>
      <c r="H64" s="65"/>
      <c r="I64" s="65"/>
      <c r="J64" s="65"/>
      <c r="K64" s="65"/>
      <c r="L64" s="65"/>
      <c r="M64" s="65"/>
      <c r="N64" s="65"/>
      <c r="O64" s="65"/>
    </row>
    <row r="65" spans="1:15" ht="38.25" customHeight="1" x14ac:dyDescent="0.4">
      <c r="A65" s="66" t="s">
        <v>139</v>
      </c>
      <c r="B65" s="67"/>
      <c r="C65" s="67"/>
      <c r="D65" s="67"/>
      <c r="E65" s="67"/>
      <c r="F65" s="67"/>
      <c r="G65" s="67"/>
      <c r="H65" s="67"/>
      <c r="I65" s="67"/>
      <c r="J65" s="67"/>
      <c r="K65" s="67"/>
      <c r="L65" s="67"/>
      <c r="M65" s="67"/>
      <c r="N65" s="67"/>
      <c r="O65" s="67"/>
    </row>
    <row r="66" spans="1:15" ht="42" customHeight="1" x14ac:dyDescent="0.4">
      <c r="A66" s="68" t="s">
        <v>145</v>
      </c>
      <c r="B66" s="69"/>
      <c r="C66" s="69"/>
      <c r="D66" s="69"/>
      <c r="E66" s="69"/>
      <c r="F66" s="69"/>
      <c r="G66" s="69"/>
      <c r="H66" s="69"/>
      <c r="I66" s="69"/>
      <c r="J66" s="69"/>
      <c r="K66" s="69"/>
      <c r="L66" s="69"/>
      <c r="M66" s="69"/>
      <c r="N66" s="69"/>
      <c r="O66" s="69"/>
    </row>
    <row r="67" spans="1:15" ht="42" customHeight="1" x14ac:dyDescent="0.4">
      <c r="A67" s="61" t="s">
        <v>140</v>
      </c>
      <c r="B67" s="62"/>
      <c r="C67" s="62"/>
      <c r="D67" s="62"/>
      <c r="E67" s="62"/>
      <c r="F67" s="62"/>
      <c r="G67" s="62"/>
      <c r="H67" s="62"/>
      <c r="I67" s="62"/>
      <c r="J67" s="62"/>
      <c r="K67" s="62"/>
      <c r="L67" s="62"/>
      <c r="M67" s="62"/>
      <c r="N67" s="62"/>
      <c r="O67" s="62"/>
    </row>
    <row r="68" spans="1:15" ht="21" customHeight="1" x14ac:dyDescent="0.4">
      <c r="A68" s="61"/>
      <c r="B68" s="62"/>
      <c r="C68" s="62"/>
      <c r="D68" s="62"/>
      <c r="E68" s="62"/>
      <c r="F68" s="62"/>
      <c r="G68" s="62"/>
      <c r="H68" s="62"/>
      <c r="I68" s="62"/>
      <c r="J68" s="62"/>
      <c r="K68" s="62"/>
      <c r="L68" s="62"/>
      <c r="M68" s="62"/>
      <c r="N68" s="62"/>
      <c r="O68" s="62"/>
    </row>
    <row r="69" spans="1:15" ht="15" x14ac:dyDescent="0.25">
      <c r="A69" s="1" t="s">
        <v>1</v>
      </c>
      <c r="B69" s="1" t="s">
        <v>0</v>
      </c>
      <c r="C69" s="1" t="s">
        <v>2</v>
      </c>
      <c r="D69" s="2">
        <v>44962</v>
      </c>
      <c r="E69" s="2">
        <v>44969</v>
      </c>
      <c r="F69" s="2">
        <v>44976</v>
      </c>
      <c r="G69" s="2">
        <v>44983</v>
      </c>
    </row>
    <row r="70" spans="1:15" ht="15" x14ac:dyDescent="0.2">
      <c r="A70" s="15">
        <v>1</v>
      </c>
      <c r="B70" s="15" t="s">
        <v>133</v>
      </c>
      <c r="C70" s="7">
        <f t="shared" ref="C70:C81" si="1">D70+E70+F70+G70</f>
        <v>850</v>
      </c>
      <c r="D70" s="13">
        <v>475</v>
      </c>
      <c r="E70" s="13">
        <v>375</v>
      </c>
      <c r="F70" s="14"/>
      <c r="G70" s="13"/>
    </row>
    <row r="71" spans="1:15" ht="15" x14ac:dyDescent="0.2">
      <c r="A71" s="15">
        <v>2</v>
      </c>
      <c r="B71" s="15" t="s">
        <v>32</v>
      </c>
      <c r="C71" s="7">
        <f t="shared" si="1"/>
        <v>700</v>
      </c>
      <c r="D71" s="13">
        <v>275</v>
      </c>
      <c r="E71" s="14">
        <v>425</v>
      </c>
      <c r="F71" s="14"/>
      <c r="G71" s="13"/>
    </row>
    <row r="72" spans="1:15" ht="15" x14ac:dyDescent="0.2">
      <c r="A72" s="15">
        <v>3</v>
      </c>
      <c r="B72" s="15" t="s">
        <v>16</v>
      </c>
      <c r="C72" s="7">
        <f t="shared" si="1"/>
        <v>650</v>
      </c>
      <c r="D72" s="13">
        <v>300</v>
      </c>
      <c r="E72" s="13">
        <v>350</v>
      </c>
      <c r="F72" s="14"/>
      <c r="G72" s="13"/>
    </row>
    <row r="73" spans="1:15" ht="15" x14ac:dyDescent="0.2">
      <c r="A73" s="15">
        <v>4</v>
      </c>
      <c r="B73" s="15" t="s">
        <v>22</v>
      </c>
      <c r="C73" s="7">
        <f t="shared" si="1"/>
        <v>575</v>
      </c>
      <c r="D73" s="13">
        <v>575</v>
      </c>
      <c r="E73" s="13">
        <v>0</v>
      </c>
      <c r="F73" s="14"/>
      <c r="G73" s="14"/>
    </row>
    <row r="74" spans="1:15" ht="15" x14ac:dyDescent="0.2">
      <c r="A74" s="15">
        <v>4</v>
      </c>
      <c r="B74" s="15" t="s">
        <v>65</v>
      </c>
      <c r="C74" s="7">
        <f t="shared" si="1"/>
        <v>575</v>
      </c>
      <c r="D74" s="13">
        <v>0</v>
      </c>
      <c r="E74" s="13">
        <v>575</v>
      </c>
      <c r="F74" s="13"/>
      <c r="G74" s="13"/>
    </row>
    <row r="75" spans="1:15" ht="15" x14ac:dyDescent="0.2">
      <c r="A75" s="15">
        <v>5</v>
      </c>
      <c r="B75" s="15" t="s">
        <v>110</v>
      </c>
      <c r="C75" s="7">
        <f t="shared" si="1"/>
        <v>550</v>
      </c>
      <c r="D75" s="13">
        <v>250</v>
      </c>
      <c r="E75" s="14">
        <v>300</v>
      </c>
      <c r="F75" s="14"/>
      <c r="G75" s="14"/>
    </row>
    <row r="76" spans="1:15" ht="15" x14ac:dyDescent="0.2">
      <c r="A76" s="15">
        <v>6</v>
      </c>
      <c r="B76" s="15" t="s">
        <v>89</v>
      </c>
      <c r="C76" s="7">
        <f t="shared" si="1"/>
        <v>475</v>
      </c>
      <c r="D76" s="13">
        <v>0</v>
      </c>
      <c r="E76" s="13">
        <v>475</v>
      </c>
      <c r="F76" s="13"/>
      <c r="G76" s="13"/>
    </row>
    <row r="77" spans="1:15" ht="15" x14ac:dyDescent="0.2">
      <c r="A77" s="15">
        <v>7</v>
      </c>
      <c r="B77" s="15" t="s">
        <v>60</v>
      </c>
      <c r="C77" s="7">
        <f t="shared" si="1"/>
        <v>375</v>
      </c>
      <c r="D77" s="13">
        <v>375</v>
      </c>
      <c r="E77" s="13">
        <v>0</v>
      </c>
      <c r="F77" s="13"/>
      <c r="G77" s="13"/>
    </row>
    <row r="78" spans="1:15" ht="15" x14ac:dyDescent="0.2">
      <c r="A78" s="15">
        <v>8</v>
      </c>
      <c r="B78" s="15" t="s">
        <v>61</v>
      </c>
      <c r="C78" s="7">
        <f t="shared" si="1"/>
        <v>350</v>
      </c>
      <c r="D78" s="13">
        <v>350</v>
      </c>
      <c r="E78" s="13">
        <v>0</v>
      </c>
      <c r="F78" s="13"/>
      <c r="G78" s="13"/>
    </row>
    <row r="79" spans="1:15" ht="15" x14ac:dyDescent="0.2">
      <c r="A79" s="15">
        <v>9</v>
      </c>
      <c r="B79" s="15" t="s">
        <v>19</v>
      </c>
      <c r="C79" s="7">
        <f t="shared" si="1"/>
        <v>325</v>
      </c>
      <c r="D79" s="13">
        <v>0</v>
      </c>
      <c r="E79" s="14">
        <v>325</v>
      </c>
      <c r="F79" s="13"/>
      <c r="G79" s="14"/>
    </row>
    <row r="80" spans="1:15" ht="15" x14ac:dyDescent="0.2">
      <c r="A80" s="15">
        <v>9</v>
      </c>
      <c r="B80" s="15" t="s">
        <v>11</v>
      </c>
      <c r="C80" s="7">
        <f t="shared" si="1"/>
        <v>325</v>
      </c>
      <c r="D80" s="14">
        <v>325</v>
      </c>
      <c r="E80" s="13">
        <v>0</v>
      </c>
      <c r="F80" s="14"/>
      <c r="G80" s="13"/>
    </row>
    <row r="81" spans="1:7" ht="15" x14ac:dyDescent="0.2">
      <c r="A81" s="15">
        <v>10</v>
      </c>
      <c r="B81" s="15" t="s">
        <v>128</v>
      </c>
      <c r="C81" s="7">
        <f t="shared" si="1"/>
        <v>225</v>
      </c>
      <c r="D81" s="13">
        <v>225</v>
      </c>
      <c r="E81" s="13">
        <v>0</v>
      </c>
      <c r="F81" s="13"/>
      <c r="G81" s="13"/>
    </row>
    <row r="83" spans="1:7" ht="15" x14ac:dyDescent="0.25">
      <c r="A83" s="32" t="s">
        <v>4</v>
      </c>
      <c r="B83" s="33"/>
      <c r="C83" s="33"/>
      <c r="D83" s="33"/>
    </row>
    <row r="84" spans="1:7" ht="15" x14ac:dyDescent="0.25">
      <c r="A84" s="59" t="s">
        <v>144</v>
      </c>
      <c r="B84" s="60"/>
      <c r="C84" s="60"/>
      <c r="D84" s="60"/>
    </row>
  </sheetData>
  <mergeCells count="17">
    <mergeCell ref="A83:D83"/>
    <mergeCell ref="A84:D84"/>
    <mergeCell ref="A67:O67"/>
    <mergeCell ref="A68:O68"/>
    <mergeCell ref="A62:O63"/>
    <mergeCell ref="A64:O64"/>
    <mergeCell ref="A65:O65"/>
    <mergeCell ref="A66:O66"/>
    <mergeCell ref="A48:C48"/>
    <mergeCell ref="A49:C49"/>
    <mergeCell ref="A50:C50"/>
    <mergeCell ref="A1:O1"/>
    <mergeCell ref="A2:O2"/>
    <mergeCell ref="A3:O3"/>
    <mergeCell ref="A4:O4"/>
    <mergeCell ref="A5:O5"/>
    <mergeCell ref="A6:O6"/>
  </mergeCells>
  <pageMargins left="0.7" right="0.7" top="0.75" bottom="0.75" header="0.3" footer="0.3"/>
  <pageSetup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14</vt:i4>
      </vt:variant>
      <vt:variant>
        <vt:lpstr>Named Ranges</vt:lpstr>
      </vt:variant>
      <vt:variant>
        <vt:i4>9</vt:i4>
      </vt:variant>
    </vt:vector>
  </HeadingPairs>
  <TitlesOfParts>
    <vt:vector size="23" baseType="lpstr">
      <vt:lpstr>6-23-26 - 10-5-26 (20 Year)</vt:lpstr>
      <vt:lpstr>6-15-25 - 9-2-25 (1 quarter)</vt:lpstr>
      <vt:lpstr>12-15-24 - 3-16-25 (1 quarter)</vt:lpstr>
      <vt:lpstr>7-27-24 - 10-12-24 (3 quarter)</vt:lpstr>
      <vt:lpstr>5-4-24 - 7-20-24 (2 quarter)</vt:lpstr>
      <vt:lpstr>2-4-24 - 4-27-24 (1 quarter)</vt:lpstr>
      <vt:lpstr>6-4-23 - 9-10-23 (17 month)</vt:lpstr>
      <vt:lpstr>2-19-23 - 5-21-23 (16 months)</vt:lpstr>
      <vt:lpstr>10-30-22 - 2-12-23 (6 month)</vt:lpstr>
      <vt:lpstr>8-7-22 - 10-23-22 (5 month)</vt:lpstr>
      <vt:lpstr>4-10-22 - 7-31-22 (4 month)</vt:lpstr>
      <vt:lpstr>10-3-21 - 4-3-22 (3 month)</vt:lpstr>
      <vt:lpstr>6-27-21 - 9-26-21 (2 month)</vt:lpstr>
      <vt:lpstr>3-21-21 - 6-20-21 (1 month)</vt:lpstr>
      <vt:lpstr>'10-30-22 - 2-12-23 (6 month)'!Print_Area</vt:lpstr>
      <vt:lpstr>'12-15-24 - 3-16-25 (1 quarter)'!Print_Area</vt:lpstr>
      <vt:lpstr>'2-19-23 - 5-21-23 (16 months)'!Print_Area</vt:lpstr>
      <vt:lpstr>'2-4-24 - 4-27-24 (1 quarter)'!Print_Area</vt:lpstr>
      <vt:lpstr>'5-4-24 - 7-20-24 (2 quarter)'!Print_Area</vt:lpstr>
      <vt:lpstr>'6-15-25 - 9-2-25 (1 quarter)'!Print_Area</vt:lpstr>
      <vt:lpstr>'6-23-26 - 10-5-26 (20 Year)'!Print_Area</vt:lpstr>
      <vt:lpstr>'6-4-23 - 9-10-23 (17 month)'!Print_Area</vt:lpstr>
      <vt:lpstr>'7-27-24 - 10-12-24 (3 quarter)'!Print_Area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Kelly</dc:creator>
  <cp:lastModifiedBy>k</cp:lastModifiedBy>
  <cp:lastPrinted>2026-06-24T10:16:49Z</cp:lastPrinted>
  <dcterms:created xsi:type="dcterms:W3CDTF">2013-12-12T05:08:35Z</dcterms:created>
  <dcterms:modified xsi:type="dcterms:W3CDTF">2026-07-28T01:10:34Z</dcterms:modified>
</cp:coreProperties>
</file>